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5" windowWidth="9720" windowHeight="5715" tabRatio="855" activeTab="2"/>
  </bookViews>
  <sheets>
    <sheet name="Schema Stato Patrimoniale" sheetId="1" r:id="rId1"/>
    <sheet name="Schema C.E. (diretto)" sheetId="2" state="hidden" r:id="rId2"/>
    <sheet name="Schema Conto Eonomico" sheetId="3" r:id="rId3"/>
    <sheet name="Alimentazione CE Ricavi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" localSheetId="1">#REF!</definedName>
    <definedName name="_">#REF!</definedName>
    <definedName name="a">'[6]Alim C.E.'!$D$29:$D$34</definedName>
    <definedName name="A__Totale_interventi_edili_impiantistici">#REF!</definedName>
    <definedName name="and.liquidità" localSheetId="3">'[8]Alim S.P.'!#REF!</definedName>
    <definedName name="and.liquidità" localSheetId="1">'[8]Alim S.P.'!#REF!</definedName>
    <definedName name="and.liquidità">'[8]Alim S.P.'!#REF!</definedName>
    <definedName name="_xlnm.Print_Area" localSheetId="3">'Alimentazione CE Ricavi'!$A$1:$J$255</definedName>
    <definedName name="_xlnm.Print_Area" localSheetId="2">'Schema Conto Eonomico'!$A:$G</definedName>
    <definedName name="b">'[6]Alim C.E.'!$D$29:$D$34</definedName>
    <definedName name="B__Totale_acquisto_di_beni_mobili_e_tecnologie">#REF!</definedName>
    <definedName name="basedati">#REF!</definedName>
    <definedName name="batab">#REF!</definedName>
    <definedName name="batab1">'[9]Alimentazione CE01'!$E$30:$E$35</definedName>
    <definedName name="batab2">'[10]Alimentazione CE01'!$E$30:$E$35</definedName>
    <definedName name="batac">#REF!</definedName>
    <definedName name="bo" localSheetId="3">'[11]Alim S.P.'!#REF!</definedName>
    <definedName name="bo" localSheetId="1">'[11]Alim S.P.'!#REF!</definedName>
    <definedName name="bo">'[11]Alim S.P.'!#REF!</definedName>
    <definedName name="bo1" localSheetId="3">'[11]Alim S.P.'!#REF!</definedName>
    <definedName name="bo1" localSheetId="1">'[11]Alim S.P.'!#REF!</definedName>
    <definedName name="bo1">'[11]Alim S.P.'!#REF!</definedName>
    <definedName name="bo2" localSheetId="3">'[11]Alim S.P.'!#REF!</definedName>
    <definedName name="bo2" localSheetId="1">'[12]Alim S.P.'!#REF!</definedName>
    <definedName name="bo2">'[12]Alim S.P.'!#REF!</definedName>
    <definedName name="bo3" localSheetId="3">'[11]Alim S.P.'!#REF!</definedName>
    <definedName name="bo3" localSheetId="1">'[12]Alim S.P.'!#REF!</definedName>
    <definedName name="bo3">'[12]Alim S.P.'!#REF!</definedName>
    <definedName name="boic" localSheetId="3">'[11]Alim S.P.'!#REF!</definedName>
    <definedName name="boic" localSheetId="1">'[11]Alim S.P.'!#REF!</definedName>
    <definedName name="boic">'[11]Alim S.P.'!#REF!</definedName>
    <definedName name="ce_tot_regionale">#REF!</definedName>
    <definedName name="ciao">'[2]Alimentazione'!$E$29:$E$34</definedName>
    <definedName name="Consolidatorettificato">'[1]BILANCIO DEL SSR'!$A$1:$F$77,'[1]BILANCIO DEL SSR'!$G$77,'[1]BILANCIO DEL SSR'!$G$1:$G$77</definedName>
    <definedName name="cont" localSheetId="3">#REF!</definedName>
    <definedName name="cont" localSheetId="1">#REF!</definedName>
    <definedName name="cont">#REF!</definedName>
    <definedName name="cont1">'[14]Alimentazione'!$E$29:$E$34</definedName>
    <definedName name="contrb.2" localSheetId="3">#REF!</definedName>
    <definedName name="contrb.2" localSheetId="1">#REF!</definedName>
    <definedName name="contrb.2">#REF!</definedName>
    <definedName name="d">#REF!</definedName>
    <definedName name="DATABASE1" localSheetId="3">'[31]Alim S.P.'!#REF!</definedName>
    <definedName name="DATABASE1" localSheetId="1">#REF!</definedName>
    <definedName name="DATABASE1">#REF!</definedName>
    <definedName name="database2" localSheetId="3">'[11]Alim S.P.'!#REF!</definedName>
    <definedName name="database2" localSheetId="1">'[11]Alim S.P.'!#REF!</definedName>
    <definedName name="database2">'[11]Alim S.P.'!#REF!</definedName>
    <definedName name="db1" localSheetId="3">'[16]Alim S.P.'!#REF!</definedName>
    <definedName name="db1" localSheetId="1">'[16]Alim S.P.'!#REF!</definedName>
    <definedName name="db1">'[16]Alim S.P.'!#REF!</definedName>
    <definedName name="db2" localSheetId="3">#REF!</definedName>
    <definedName name="db2" localSheetId="1">#REF!</definedName>
    <definedName name="db2">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FF">'[17]Alim C.E.'!$D$29:$D$34</definedName>
    <definedName name="hgf">#REF!</definedName>
    <definedName name="LIQUIDITA" localSheetId="3">#REF!</definedName>
    <definedName name="LIQUIDITA" localSheetId="1">#REF!</definedName>
    <definedName name="LIQUIDITA">#REF!</definedName>
    <definedName name="LK">#REF!</definedName>
    <definedName name="MAO">'[20]Alimentazione'!$E$29:$E$34</definedName>
    <definedName name="MJ" localSheetId="3">'[11]Alim S.P.'!#REF!</definedName>
    <definedName name="MJ" localSheetId="1">'[11]Alim S.P.'!#REF!</definedName>
    <definedName name="MJ">'[11]Alim S.P.'!#REF!</definedName>
    <definedName name="MN" localSheetId="3">'[11]Alim S.P.'!#REF!</definedName>
    <definedName name="MN" localSheetId="1">'[11]Alim S.P.'!#REF!</definedName>
    <definedName name="MN">'[11]Alim S.P.'!#REF!</definedName>
    <definedName name="mod_ass_rip">#REF!</definedName>
    <definedName name="NomeTabella">"Dummy"</definedName>
    <definedName name="ok" localSheetId="3">'[33]Alim S.P.'!#REF!</definedName>
    <definedName name="ok" localSheetId="1">'[21]Alim S.P.'!#REF!</definedName>
    <definedName name="ok">'[21]Alim S.P.'!#REF!</definedName>
    <definedName name="Per_ass5" localSheetId="1">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 localSheetId="1">'[22]B0-Er.Serv.San.-dettaglio'!#REF!</definedName>
    <definedName name="perc_ass_b0013">'[22]B0-Er.Serv.San.-dettaglio'!#REF!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 localSheetId="1">#REF!</definedName>
    <definedName name="perc_ass_e01">#REF!</definedName>
    <definedName name="perc_ass_e0102" localSheetId="1">#REF!</definedName>
    <definedName name="perc_ass_e0102">#REF!</definedName>
    <definedName name="perc_ass_e0103" localSheetId="1">#REF!</definedName>
    <definedName name="perc_ass_e0103">#REF!</definedName>
    <definedName name="perc_ass_e04" localSheetId="1">#REF!</definedName>
    <definedName name="perc_ass_e04">#REF!</definedName>
    <definedName name="perc_ass_e05" localSheetId="1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 localSheetId="1">'[22]B0-Er.Serv.San.-dettaglio'!#REF!</definedName>
    <definedName name="perc_man_b0013">'[22]B0-Er.Serv.San.-dettaglio'!#REF!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 localSheetId="1">#REF!</definedName>
    <definedName name="perc_man_e01">#REF!</definedName>
    <definedName name="perc_man_e0102" localSheetId="1">#REF!</definedName>
    <definedName name="perc_man_e0102">#REF!</definedName>
    <definedName name="perc_man_e0103" localSheetId="1">#REF!</definedName>
    <definedName name="perc_man_e0103">#REF!</definedName>
    <definedName name="perc_man_e04" localSheetId="1">#REF!</definedName>
    <definedName name="perc_man_e04">#REF!</definedName>
    <definedName name="perc_man_e05" localSheetId="1">#REF!</definedName>
    <definedName name="perc_man_e05">#REF!</definedName>
    <definedName name="perc_man_e202" localSheetId="1">'[23]E0-Sist.Governo-Cond.SISR-2004'!#REF!</definedName>
    <definedName name="perc_man_e202">'[23]E0-Sist.Governo-Cond.SISR-2004'!#REF!</definedName>
    <definedName name="perc_man_g0201">#REF!</definedName>
    <definedName name="Pers_aopn" localSheetId="1">#REF!</definedName>
    <definedName name="Pers_aopn">#REF!</definedName>
    <definedName name="Pers_aots" localSheetId="1">#REF!</definedName>
    <definedName name="Pers_aots">#REF!</definedName>
    <definedName name="Pers_aoud" localSheetId="1">#REF!</definedName>
    <definedName name="Pers_aoud">#REF!</definedName>
    <definedName name="Pers_ars" localSheetId="1">#REF!</definedName>
    <definedName name="Pers_ars">#REF!</definedName>
    <definedName name="Pers_ass1" localSheetId="1">#REF!</definedName>
    <definedName name="Pers_ass1">#REF!</definedName>
    <definedName name="Pers_ass2" localSheetId="1">#REF!</definedName>
    <definedName name="Pers_ass2">#REF!</definedName>
    <definedName name="Pers_ass4" localSheetId="1">#REF!</definedName>
    <definedName name="Pers_ass4">#REF!</definedName>
    <definedName name="Pers_ass6" localSheetId="1">#REF!</definedName>
    <definedName name="Pers_ass6">#REF!</definedName>
    <definedName name="Pers_burlo" localSheetId="1">#REF!</definedName>
    <definedName name="Pers_burlo">#REF!</definedName>
    <definedName name="Pers_cro" localSheetId="1">#REF!</definedName>
    <definedName name="Pers_cro">#REF!</definedName>
    <definedName name="Pers_policl" localSheetId="1">#REF!</definedName>
    <definedName name="Pers_policl">#REF!</definedName>
    <definedName name="Pesr_ass3" localSheetId="1">#REF!</definedName>
    <definedName name="Pesr_ass3">#REF!</definedName>
    <definedName name="precons">#REF!</definedName>
    <definedName name="re" localSheetId="3">#REF!</definedName>
    <definedName name="re" localSheetId="1">#REF!</definedName>
    <definedName name="re">#REF!</definedName>
    <definedName name="rewe">'[24]AOTS'!$A:$XFD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>'[5]AOTS'!$A:$XFD</definedName>
    <definedName name="Term_agg_ASCOT">#REF!</definedName>
    <definedName name="_xlnm.Print_Titles" localSheetId="3">'Alimentazione CE Ricavi'!$1:$3</definedName>
    <definedName name="_xlnm.Print_Titles" localSheetId="2">'Schema Conto Eonomico'!$6:$7</definedName>
    <definedName name="Tot_chemio_regione">#REF!</definedName>
    <definedName name="Tot_referti_G2RISregion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 localSheetId="1">#REF!</definedName>
    <definedName name="Totale_dip_regione">#REF!</definedName>
    <definedName name="Totale_esami_regione" localSheetId="1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 localSheetId="1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 localSheetId="1">'[22]B0-Er.Serv.San.-dettaglio'!#REF!</definedName>
    <definedName name="val_ora_b0013">'[22]B0-Er.Serv.San.-dettaglio'!#REF!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'[22]D0-Scamb.Inform.-Cond.SISR-2004'!$W$31+'[22]D0-Scamb.Inform.-Cond.SISR-2004'!$W$32</definedName>
    <definedName name="val_ora_d0105">#REF!</definedName>
    <definedName name="val_ora_d0201">#REF!</definedName>
    <definedName name="val_ora_e01" localSheetId="1">#REF!</definedName>
    <definedName name="val_ora_e01">#REF!</definedName>
    <definedName name="val_ora_e0102" localSheetId="1">#REF!</definedName>
    <definedName name="val_ora_e0102">#REF!</definedName>
    <definedName name="val_ora_e0103" localSheetId="1">#REF!</definedName>
    <definedName name="val_ora_e0103">#REF!</definedName>
    <definedName name="val_ora_e04" localSheetId="1">#REF!</definedName>
    <definedName name="val_ora_e04">#REF!</definedName>
    <definedName name="val_ora_e05" localSheetId="1">#REF!</definedName>
    <definedName name="val_ora_e05">#REF!</definedName>
    <definedName name="val_ora_g0201">#REF!</definedName>
    <definedName name="val_tot_ap_reg">#REF!</definedName>
    <definedName name="val_tot_ap_reg1" localSheetId="1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 localSheetId="3">#REF!</definedName>
    <definedName name="verifica" localSheetId="1">#REF!</definedName>
    <definedName name="verifica">#REF!</definedName>
  </definedNames>
  <calcPr fullCalcOnLoad="1" fullPrecision="0"/>
</workbook>
</file>

<file path=xl/comments4.xml><?xml version="1.0" encoding="utf-8"?>
<comments xmlns="http://schemas.openxmlformats.org/spreadsheetml/2006/main">
  <authors>
    <author>Valued Acer Customer</author>
  </authors>
  <commentList>
    <comment ref="N12" authorId="0">
      <text>
        <r>
          <rPr>
            <b/>
            <sz val="8"/>
            <rFont val="Tahoma"/>
            <family val="2"/>
          </rPr>
          <t>Clagnan 31.489 + Stiore Euro 55.739</t>
        </r>
        <r>
          <rPr>
            <sz val="8"/>
            <rFont val="Tahoma"/>
            <family val="2"/>
          </rPr>
          <t xml:space="preserve">
</t>
        </r>
      </text>
    </comment>
    <comment ref="H241" authorId="0">
      <text>
        <r>
          <rPr>
            <b/>
            <sz val="8"/>
            <rFont val="Tahoma"/>
            <family val="2"/>
          </rPr>
          <t>inserito arrot, 2 euro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<sst xmlns="http://schemas.openxmlformats.org/spreadsheetml/2006/main" count="1034" uniqueCount="675">
  <si>
    <t>TOTALE Y)</t>
  </si>
  <si>
    <t>AA0030</t>
  </si>
  <si>
    <t>AA0040</t>
  </si>
  <si>
    <t>AA0070</t>
  </si>
  <si>
    <t>AA0080</t>
  </si>
  <si>
    <t>AA0090</t>
  </si>
  <si>
    <t>AA0100</t>
  </si>
  <si>
    <t>AA0120</t>
  </si>
  <si>
    <t>AA0130</t>
  </si>
  <si>
    <t>AA0150</t>
  </si>
  <si>
    <t>AA0160</t>
  </si>
  <si>
    <t>AA0170</t>
  </si>
  <si>
    <t>AA0190</t>
  </si>
  <si>
    <t>AA0200</t>
  </si>
  <si>
    <t>AA0210</t>
  </si>
  <si>
    <t>AA0220</t>
  </si>
  <si>
    <t>AA0230</t>
  </si>
  <si>
    <t>AA0250</t>
  </si>
  <si>
    <t>AA0260</t>
  </si>
  <si>
    <t>AA0280</t>
  </si>
  <si>
    <t>AA0290</t>
  </si>
  <si>
    <t>AA0300</t>
  </si>
  <si>
    <t>AA0310</t>
  </si>
  <si>
    <t>AA0350</t>
  </si>
  <si>
    <t>AA0360</t>
  </si>
  <si>
    <t>AA0370</t>
  </si>
  <si>
    <t>AA0380</t>
  </si>
  <si>
    <t>AA0390</t>
  </si>
  <si>
    <t>AA0400</t>
  </si>
  <si>
    <t>AA0410</t>
  </si>
  <si>
    <t>AA0420</t>
  </si>
  <si>
    <t>AA0430</t>
  </si>
  <si>
    <t>AA0440</t>
  </si>
  <si>
    <t>AA0460</t>
  </si>
  <si>
    <t>AA0470</t>
  </si>
  <si>
    <t>AA0480</t>
  </si>
  <si>
    <t>AA0490</t>
  </si>
  <si>
    <t>AA0500</t>
  </si>
  <si>
    <t>AA0510</t>
  </si>
  <si>
    <t>AA0520</t>
  </si>
  <si>
    <t>AA0530</t>
  </si>
  <si>
    <t>AA0540</t>
  </si>
  <si>
    <t>AA0550</t>
  </si>
  <si>
    <t>AA0560</t>
  </si>
  <si>
    <t>AA0580</t>
  </si>
  <si>
    <t>AA0590</t>
  </si>
  <si>
    <t>AA0600</t>
  </si>
  <si>
    <t>AA0620</t>
  </si>
  <si>
    <t>AA0630</t>
  </si>
  <si>
    <t>AA0640</t>
  </si>
  <si>
    <t>AA0650</t>
  </si>
  <si>
    <t>AA0660</t>
  </si>
  <si>
    <t>AA0680</t>
  </si>
  <si>
    <t>AA0690</t>
  </si>
  <si>
    <t>AA0700</t>
  </si>
  <si>
    <t>AA0710</t>
  </si>
  <si>
    <t>AA0720</t>
  </si>
  <si>
    <t>AA0730</t>
  </si>
  <si>
    <t>AA0740</t>
  </si>
  <si>
    <t>AA0760</t>
  </si>
  <si>
    <t>AA0780</t>
  </si>
  <si>
    <t>AA0790</t>
  </si>
  <si>
    <t>AA0810</t>
  </si>
  <si>
    <t>AA0820</t>
  </si>
  <si>
    <t>AA0830</t>
  </si>
  <si>
    <t>AA0850</t>
  </si>
  <si>
    <t>AA0860</t>
  </si>
  <si>
    <t>AA0870</t>
  </si>
  <si>
    <t>AA0900</t>
  </si>
  <si>
    <t>AA0910</t>
  </si>
  <si>
    <t>AA0920</t>
  </si>
  <si>
    <t>AA0930</t>
  </si>
  <si>
    <t>AA0950</t>
  </si>
  <si>
    <t>AA0960</t>
  </si>
  <si>
    <t>AA0970</t>
  </si>
  <si>
    <t>AA0990</t>
  </si>
  <si>
    <t>AA1000</t>
  </si>
  <si>
    <t>AA1010</t>
  </si>
  <si>
    <t>AA1020</t>
  </si>
  <si>
    <t>AA1030</t>
  </si>
  <si>
    <t>AA1040</t>
  </si>
  <si>
    <t>AA1050</t>
  </si>
  <si>
    <t>AA1070</t>
  </si>
  <si>
    <t>AA1080</t>
  </si>
  <si>
    <t>AA1090</t>
  </si>
  <si>
    <t>CA0020</t>
  </si>
  <si>
    <t>CA0030</t>
  </si>
  <si>
    <t>CA0040</t>
  </si>
  <si>
    <t>CA0060</t>
  </si>
  <si>
    <t>CA0070</t>
  </si>
  <si>
    <t>CA0080</t>
  </si>
  <si>
    <t>CA0090</t>
  </si>
  <si>
    <t>CA0100</t>
  </si>
  <si>
    <t>DA0010</t>
  </si>
  <si>
    <t>EA0020</t>
  </si>
  <si>
    <t>EA0040</t>
  </si>
  <si>
    <t>EA0060</t>
  </si>
  <si>
    <t>EA0080</t>
  </si>
  <si>
    <t>EA0090</t>
  </si>
  <si>
    <t>EA0100</t>
  </si>
  <si>
    <t>EA0110</t>
  </si>
  <si>
    <t>EA0120</t>
  </si>
  <si>
    <t>EA0130</t>
  </si>
  <si>
    <t>EA0140</t>
  </si>
  <si>
    <t>EA0160</t>
  </si>
  <si>
    <t>EA0180</t>
  </si>
  <si>
    <t>EA0190</t>
  </si>
  <si>
    <t>EA0200</t>
  </si>
  <si>
    <t>EA0210</t>
  </si>
  <si>
    <t>EA0220</t>
  </si>
  <si>
    <t>EA0230</t>
  </si>
  <si>
    <t>EA0240</t>
  </si>
  <si>
    <t>EA0250</t>
  </si>
  <si>
    <t>STATO PATRIMONIALE
Attivo</t>
  </si>
  <si>
    <t>Importi:Euro</t>
  </si>
  <si>
    <t>I</t>
  </si>
  <si>
    <t>4)</t>
  </si>
  <si>
    <t>5)</t>
  </si>
  <si>
    <t>Costi di ricerca, sviluppo</t>
  </si>
  <si>
    <t>Diritti di brevetto e di utilizzazione delle opere dell'ingegno</t>
  </si>
  <si>
    <t>Immobilizzazioni immateriali in corso e acconti</t>
  </si>
  <si>
    <t>Altre immobilizzazioni immateriali</t>
  </si>
  <si>
    <t>II</t>
  </si>
  <si>
    <t>Fabbricati non strumentali (disponibili)</t>
  </si>
  <si>
    <t>Fabbricati strumentali (indisponibili)</t>
  </si>
  <si>
    <t>Attrezzature sanitarie e scientifiche</t>
  </si>
  <si>
    <t>6)</t>
  </si>
  <si>
    <t>7)</t>
  </si>
  <si>
    <t>Oggetti d'arte</t>
  </si>
  <si>
    <t>8)</t>
  </si>
  <si>
    <t>Altre immobilizzazioni materiali</t>
  </si>
  <si>
    <t>Immobilizzazioni materiali in corso e acconti</t>
  </si>
  <si>
    <t>9)</t>
  </si>
  <si>
    <t>III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</si>
  <si>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</si>
  <si>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</si>
  <si>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</si>
  <si>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</si>
  <si>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Crediti finanziari v/partecipate</t>
  </si>
  <si>
    <t>Crediti finanziari v/altri</t>
  </si>
  <si>
    <t>Altri titoli</t>
  </si>
  <si>
    <t>Totale A)</t>
  </si>
  <si>
    <t>Rimanenze beni sanitari</t>
  </si>
  <si>
    <t>Rimanenze beni non sanitari</t>
  </si>
  <si>
    <t>Acconti per acquisti beni sanitari</t>
  </si>
  <si>
    <t>Acconti per acquisti beni non sanitari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</si>
  <si>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</si>
  <si>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</si>
  <si>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</si>
  <si>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</si>
  <si>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</si>
  <si>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</si>
  <si>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v/Stato per ricerca - altre Amministrazioni centrali </t>
  </si>
  <si>
    <t xml:space="preserve">Crediti v/Ministero della Salute per ricerca corrente </t>
  </si>
  <si>
    <t>Crediti v/ Ministero della Salute per ricerca finalizzata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</si>
  <si>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</si>
  <si>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</si>
  <si>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</si>
  <si>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</si>
  <si>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</si>
  <si>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</si>
  <si>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</si>
  <si>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</si>
  <si>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</si>
  <si>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</si>
  <si>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</si>
  <si>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</si>
  <si>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</si>
  <si>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</si>
  <si>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</si>
  <si>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</si>
  <si>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</si>
  <si>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</si>
  <si>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</si>
  <si>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</si>
  <si>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</si>
  <si>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</si>
  <si>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Partecipazioni che non costituiscono immobilizzazioni</t>
  </si>
  <si>
    <t>Altri titoli che non costituiscono immobilizzazioni</t>
  </si>
  <si>
    <t>IV</t>
  </si>
  <si>
    <t>Istituto Tesoriere</t>
  </si>
  <si>
    <t>Tesoreria Unica</t>
  </si>
  <si>
    <t>Conto corrente postale</t>
  </si>
  <si>
    <t>Totale B)</t>
  </si>
  <si>
    <t>RATEI E RISCONTI ATTIVI</t>
  </si>
  <si>
    <t>TOTALE ATTIVO (A+B+C)</t>
  </si>
  <si>
    <t>Totale C)</t>
  </si>
  <si>
    <t>CONTI D'ORDINE</t>
  </si>
  <si>
    <t>Canoni leasing ancora da pagare</t>
  </si>
  <si>
    <t>Beni in comodato</t>
  </si>
  <si>
    <t>Altri conti d'ordine</t>
  </si>
  <si>
    <t>Totale D)</t>
  </si>
  <si>
    <t>STATO PATRIMONIALE
Passivo e Patrimonio netto</t>
  </si>
  <si>
    <t>V</t>
  </si>
  <si>
    <t>VI</t>
  </si>
  <si>
    <t>VII</t>
  </si>
  <si>
    <t>Fabbricati</t>
  </si>
  <si>
    <t>Impianti e macchinari</t>
  </si>
  <si>
    <t>A)</t>
  </si>
  <si>
    <t>VALORE DELLA PRODUZIONE</t>
  </si>
  <si>
    <t>Contributi d'esercizio</t>
  </si>
  <si>
    <t>B)</t>
  </si>
  <si>
    <t>COSTI DELLA PRODUZIONE</t>
  </si>
  <si>
    <t>Acquisti di beni</t>
  </si>
  <si>
    <t>Godimento di beni di terzi</t>
  </si>
  <si>
    <t>Costi del personale</t>
  </si>
  <si>
    <t>Variazione delle rimanenze</t>
  </si>
  <si>
    <t>C)</t>
  </si>
  <si>
    <t>PROVENTI E ONERI FINANZIARI</t>
  </si>
  <si>
    <t>TOTALE PROVENTI E ONERI FINANZIARI</t>
  </si>
  <si>
    <t>D)</t>
  </si>
  <si>
    <t>RETTIFICHE DI VALORE DI ATTIVITA' FINANZIARIE</t>
  </si>
  <si>
    <t>E)</t>
  </si>
  <si>
    <t>PROVENTI E ONERI STRAORDINARI</t>
  </si>
  <si>
    <t>TOTALE DELLE PARTITE STRAORDINARIE</t>
  </si>
  <si>
    <t>RISULTATO PRIMA DELLE IMPOSTE (A - B +-C +-D +-E)</t>
  </si>
  <si>
    <t>UTILE (PERDITA) DELL'ESERCIZIO</t>
  </si>
  <si>
    <t>Automezzi</t>
  </si>
  <si>
    <t>IRAP</t>
  </si>
  <si>
    <t>IMMOBILIZZAZIONI</t>
  </si>
  <si>
    <t>Terreni</t>
  </si>
  <si>
    <t>Terreni disponibili</t>
  </si>
  <si>
    <t>Terreni indisponibili</t>
  </si>
  <si>
    <t>Mobili e arredi</t>
  </si>
  <si>
    <t>Titoli</t>
  </si>
  <si>
    <t>ATTIVO CIRCOLANTE</t>
  </si>
  <si>
    <t>Depositi cauzionali</t>
  </si>
  <si>
    <t>Ratei attivi</t>
  </si>
  <si>
    <t>Risconti attivi</t>
  </si>
  <si>
    <t>PATRIMONIO NETTO</t>
  </si>
  <si>
    <t>Fondo di dotazione</t>
  </si>
  <si>
    <t>Altre riserve</t>
  </si>
  <si>
    <t>RATEI E RISCONTI PASSIVI</t>
  </si>
  <si>
    <t>Ratei passivi</t>
  </si>
  <si>
    <t>Risconti passivi</t>
  </si>
  <si>
    <t>Immobilizzazioni immateriali</t>
  </si>
  <si>
    <t>Costi d'impianto e di ampliamento</t>
  </si>
  <si>
    <t>Immobilizzazioni materiali</t>
  </si>
  <si>
    <t>Entro 12 mesi</t>
  </si>
  <si>
    <t>Oltre 12 mesi</t>
  </si>
  <si>
    <t>Rimanenze</t>
  </si>
  <si>
    <t>Attività finanziarie che non costituiscono immobilizzazioni</t>
  </si>
  <si>
    <t>Disponibilità liquide</t>
  </si>
  <si>
    <t>Cassa</t>
  </si>
  <si>
    <t xml:space="preserve">Contributi per ripiani perdite </t>
  </si>
  <si>
    <t>Utili (perdite) portati a nuovo</t>
  </si>
  <si>
    <t>Utile (Perdita) dell'esercizio</t>
  </si>
  <si>
    <t>FONDI PER RISCHI E ONERI</t>
  </si>
  <si>
    <t>Fondi per rischi</t>
  </si>
  <si>
    <t>Debiti tributari</t>
  </si>
  <si>
    <t>Rivalutazioni</t>
  </si>
  <si>
    <t>Svalutazioni</t>
  </si>
  <si>
    <t>Oneri straordinari</t>
  </si>
  <si>
    <t>Proventi straordinari</t>
  </si>
  <si>
    <t>IRES</t>
  </si>
  <si>
    <t>Partecipazioni</t>
  </si>
  <si>
    <t>Conto  Economico</t>
  </si>
  <si>
    <t>Importi: Euro</t>
  </si>
  <si>
    <t xml:space="preserve">Importo </t>
  </si>
  <si>
    <t>%</t>
  </si>
  <si>
    <t xml:space="preserve">1) 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</si>
  <si>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</si>
  <si>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</si>
  <si>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</si>
  <si>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</si>
  <si>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</si>
  <si>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</si>
  <si>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</si>
  <si>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</si>
  <si>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</si>
  <si>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</si>
  <si>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</si>
  <si>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</si>
  <si>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</si>
  <si>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 xml:space="preserve">Concorsi, recuperi e rimborsi </t>
  </si>
  <si>
    <t>Quote contributi in c/capitale imputata nell'esercizio</t>
  </si>
  <si>
    <t>Incrementi delle immobilizzazioni per lavori interni</t>
  </si>
  <si>
    <t>Alri ricavi e proventi</t>
  </si>
  <si>
    <t>Compartecipazione alla spesa per prestazioni sanitarie (ticket)</t>
  </si>
  <si>
    <t>TOTALE A)</t>
  </si>
  <si>
    <t>Acquisti di servizi sanitari</t>
  </si>
  <si>
    <t>a)</t>
  </si>
  <si>
    <t>b)</t>
  </si>
  <si>
    <t>c)</t>
  </si>
  <si>
    <t>d)</t>
  </si>
  <si>
    <t>e)</t>
  </si>
  <si>
    <t>f)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</si>
  <si>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</si>
  <si>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</si>
  <si>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</si>
  <si>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</si>
  <si>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</si>
  <si>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</si>
  <si>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</si>
  <si>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</si>
  <si>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</si>
  <si>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</si>
  <si>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</si>
  <si>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</si>
  <si>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</si>
  <si>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</si>
  <si>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p) Altri servizi sanitari e sociosanitari a rilevanza sanitaria</t>
  </si>
  <si>
    <t>o)  Consulenze, Collaborazioni,  Interinale e altre prestazioni di lavoro sanitarie e sociosanitarie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</si>
  <si>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</si>
  <si>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</si>
  <si>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</si>
  <si>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</si>
  <si>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</si>
  <si>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</si>
  <si>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Oneri diversi di gestione</t>
  </si>
  <si>
    <t xml:space="preserve">Ammortamenti </t>
  </si>
  <si>
    <t>Svalutazione delle immobilizzazioni e  dei crediti</t>
  </si>
  <si>
    <t>Accantonamenti</t>
  </si>
  <si>
    <t>a) Accantonamenti per rischi</t>
  </si>
  <si>
    <t>b) Accantonamenti per premio operosità</t>
  </si>
  <si>
    <t>d) Altri accantonamenti</t>
  </si>
  <si>
    <t>c) Accantonamenti per quote inutilizzate di contributi vincolati</t>
  </si>
  <si>
    <t>TOTALE B)</t>
  </si>
  <si>
    <t>DIFFERENZA TRA VALORE E COSTI DELLA PRODUZIONE (A-B)</t>
  </si>
  <si>
    <t xml:space="preserve">Interessi attivi e altri proventi finanziari </t>
  </si>
  <si>
    <t xml:space="preserve">Interessi passivi e altri oneri finanziari </t>
  </si>
  <si>
    <t>TOTALE C)</t>
  </si>
  <si>
    <t>TOTALE D)</t>
  </si>
  <si>
    <t>TOTALE E)</t>
  </si>
  <si>
    <t>Y)</t>
  </si>
  <si>
    <t>IMPOSTE SUL REDDITO D'ESERCIZIO</t>
  </si>
  <si>
    <t>1)</t>
  </si>
  <si>
    <t>2)</t>
  </si>
  <si>
    <t>3)</t>
  </si>
  <si>
    <t xml:space="preserve"> Accantonamento a F.do Imposte (Accertamenti, condoni, ecc.)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</si>
  <si>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</si>
  <si>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</si>
  <si>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</si>
  <si>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</si>
  <si>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</si>
  <si>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 xml:space="preserve">c) </t>
  </si>
  <si>
    <t>Finanziamenti da Stato - altro</t>
  </si>
  <si>
    <t>Finanziamenti da Stato per ricerca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</si>
  <si>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</si>
  <si>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</si>
  <si>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</si>
  <si>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</si>
  <si>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Fondi per imposte, anche differite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</si>
  <si>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</si>
  <si>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</si>
  <si>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</si>
  <si>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</si>
  <si>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</si>
  <si>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</si>
  <si>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</si>
  <si>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</si>
  <si>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</si>
  <si>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</si>
  <si>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</si>
  <si>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</si>
  <si>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</si>
  <si>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</si>
  <si>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</si>
  <si>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Debiti v/ aziende sanitarie pubbliche della Regione per versamenti a patrimonio netto</t>
  </si>
  <si>
    <t>Debiti v/ aziende sanitarie pubbliche fuori Regione</t>
  </si>
  <si>
    <t>Debiti v/ società partecipate e/o enti dipendenti della Regione</t>
  </si>
  <si>
    <t>10)</t>
  </si>
  <si>
    <t>11)</t>
  </si>
  <si>
    <t>12)</t>
  </si>
  <si>
    <t>Debiti v/ fornitori</t>
  </si>
  <si>
    <t>Debiti v/ istituto tesoriere</t>
  </si>
  <si>
    <t>Debiti v/ altri finanziatori</t>
  </si>
  <si>
    <t>Debiti v/ istituti previdenziali e sicurezza sociale</t>
  </si>
  <si>
    <t>Debiti v/ altri</t>
  </si>
  <si>
    <t>Totale E)</t>
  </si>
  <si>
    <t>TOTALE PASSIVO E PATRIMONIO NETTO (A+B+C+D+E)</t>
  </si>
  <si>
    <t>F)</t>
  </si>
  <si>
    <t>Totale F)</t>
  </si>
  <si>
    <t>Crediti (con separata indicazione per ciascuna voce, degli importi esigibili oltre l'esercizio successivo)</t>
  </si>
  <si>
    <t>Interessi moratori e legali</t>
  </si>
  <si>
    <t>Contributi in c/esercizio</t>
  </si>
  <si>
    <t>Contributi da Regione o Prov. Aut. per quota F.S. regionale</t>
  </si>
  <si>
    <t>da Regione o Prov. Aut. per quota F.S. regionale indistinto</t>
  </si>
  <si>
    <t>Quota capitaria</t>
  </si>
  <si>
    <t>Complessità</t>
  </si>
  <si>
    <t>Revisione finanziamento</t>
  </si>
  <si>
    <t>da Regione o Prov. Aut. per quota F.S. regionale vincolato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</si>
  <si>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</si>
  <si>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</si>
  <si>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</si>
  <si>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</si>
  <si>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 xml:space="preserve">da Regione o Prov. Aut. (extra fondo) </t>
  </si>
  <si>
    <t>Contributi da Regione o Prov. Aut. (extra fondo) vincolati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</si>
  <si>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</si>
  <si>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</si>
  <si>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</si>
  <si>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</si>
  <si>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</si>
  <si>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</si>
  <si>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 val="single"/>
        <sz val="10"/>
        <rFont val="Tahoma"/>
        <family val="2"/>
      </rPr>
      <t>LEA</t>
    </r>
  </si>
  <si>
    <r>
      <t xml:space="preserve">Contributi da Regione o Prov. Aut. (extra fondo) - Risorse aggiuntive da bilancio regionale a titolo di copertura </t>
    </r>
    <r>
      <rPr>
        <b/>
        <u val="single"/>
        <sz val="10"/>
        <rFont val="Tahoma"/>
        <family val="2"/>
      </rPr>
      <t>extra LEA</t>
    </r>
  </si>
  <si>
    <t>Contributi da Regione o Prov. Aut. (extra fondo) - Altro</t>
  </si>
  <si>
    <t xml:space="preserve">Contributi da Aziende sanitarie pubbliche della Regione o Prov. Aut. (extra fondo) </t>
  </si>
  <si>
    <t>Contributi da Aziende sanitarie pubbliche della Regione o Prov. Aut. (extra fondo) vincolati</t>
  </si>
  <si>
    <t>Contributi da Aziende sanitarie pubbliche della Regione o Prov. Aut. (extra fondo) altro</t>
  </si>
  <si>
    <t xml:space="preserve">Contributi da altri soggetti pubblici (extra fondo) </t>
  </si>
  <si>
    <t>Contributi da altri soggetti pubblici (extra fondo) vincolati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</si>
  <si>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</si>
  <si>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</si>
  <si>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</si>
  <si>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</si>
  <si>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</si>
  <si>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</si>
  <si>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</si>
  <si>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Contributi da altri soggetti pubblici (extra fondo) altro</t>
  </si>
  <si>
    <t>Contributi c/esercizio per ricerca</t>
  </si>
  <si>
    <t>Contributi da Ministero della Salute per ricerca corrente</t>
  </si>
  <si>
    <t>Contributi da Ministero della Salute per ricerca finalizzata</t>
  </si>
  <si>
    <t>Contributi da Regione ed altri soggetti pubblici per ricerca</t>
  </si>
  <si>
    <t>Ricerca da Regione</t>
  </si>
  <si>
    <t>Ricerca da altri</t>
  </si>
  <si>
    <t>Contributi da privati per ricerca</t>
  </si>
  <si>
    <t>Contributi c/esercizio da privati</t>
  </si>
  <si>
    <t>Rettifica contributi c/esercizio per destinazione ad investimenti</t>
  </si>
  <si>
    <t>Rettifica contributi in c/esercizio per destinazione ad investimenti - da Regione o Prov. Aut. per quota F.S. regionale</t>
  </si>
  <si>
    <t>Rettifica contributi in c/esercizio per destinazione ad investimenti - altri contributi</t>
  </si>
  <si>
    <t>Utilizzo fondi per quote inutilizzate contributi di esercizi precedenti da Regione o Prov. Aut. per quota F.S. regionale vincolato</t>
  </si>
  <si>
    <t>Utilizzo fondi per quote inutilizzate contributi di esercizi precedenti da soggetti pubblici (extra fondo) vincolati</t>
  </si>
  <si>
    <t>Utilizzo fondi per quote inutilizzate contributi di esercizi precedenti per ricerca</t>
  </si>
  <si>
    <t>Utilizzo fondi per quote inutilizzate contributi vincolati di esercizi precedenti da privati</t>
  </si>
  <si>
    <t xml:space="preserve">Ricavi per prestazioni sanitarie e sociosanitarie a rilevanza sanitaria erogate a soggetti pubblici </t>
  </si>
  <si>
    <t>Ricavi per prestaz. sanitarie  e sociosanitarie a rilevanza sanitaria erogate ad Aziende sanitarie pubbliche della Regione</t>
  </si>
  <si>
    <t>Prestazioni di ricovero</t>
  </si>
  <si>
    <t>Rimborso per prestazioni in regime di ricovero (DRG)</t>
  </si>
  <si>
    <t>Rimborso per prestazioni fatturate in regime di ricovero</t>
  </si>
  <si>
    <t>Prestazioni di specialistica ambulatoriale</t>
  </si>
  <si>
    <t>Rimborso per prestazioni ambulatoriali e diagnostiche</t>
  </si>
  <si>
    <t>Rimborso per prestazioni ambulatoriali e diagnostiche fatturate</t>
  </si>
  <si>
    <t>Prestazioni di psichiatria residenziale e semiresidenziale</t>
  </si>
  <si>
    <t>Prestazioni di File F</t>
  </si>
  <si>
    <t>Prestazioni servizi MMG, PLS, Contin. assistenziale</t>
  </si>
  <si>
    <t>Prestazioni servizi farmaceutica convenzionata</t>
  </si>
  <si>
    <t>Prestazioni termali</t>
  </si>
  <si>
    <t>Prestazioni trasporto ambulanze ed elisoccorso</t>
  </si>
  <si>
    <t xml:space="preserve">Altre prestazioni sanitarie e socio-sanitarie a rilevanza sanitaria </t>
  </si>
  <si>
    <t>Consulenze sanitarie</t>
  </si>
  <si>
    <t xml:space="preserve">Ricavi per prestaz. sanitarie e sociosanitarie a rilevanza sanitaria erogate ad altri soggetti pubblici </t>
  </si>
  <si>
    <t>Ricavi per prestaz. sanitarie e sociosanitarie a rilevanza sanitaria erogate a soggetti pubblici Extraregione</t>
  </si>
  <si>
    <t>Rimborso per prestazioni in regime di ricovero in compensazione</t>
  </si>
  <si>
    <t>Prestazioni ambulatoriali</t>
  </si>
  <si>
    <t>Rimborso per prestazioni ambulatoriali e diagnostiche in compensazione</t>
  </si>
  <si>
    <t>Prestazioni di psichiatria non soggetta a compensazione (resid. e semiresid.)</t>
  </si>
  <si>
    <t>Prestazioni servizi MMG, PLS, Contin. assistenziale Extraregione</t>
  </si>
  <si>
    <t>Prestazioni servizi farmaceutica convenzionata Extraregione</t>
  </si>
  <si>
    <t>Prestazioni termali Extraregione</t>
  </si>
  <si>
    <t>Prestazioni trasporto ambulanze ed elisoccorso Extraregione</t>
  </si>
  <si>
    <t>Altre prestazioni sanitarie e sociosanitarie a rilevanza sanitaria Extraregione</t>
  </si>
  <si>
    <t>Ricavi per cessione di emocomponenti e cellule staminali Extraregione</t>
  </si>
  <si>
    <t>Ricavi per differenziale tariffe TUC</t>
  </si>
  <si>
    <t>Altre prestazioni sanitarie e sociosanitarie a rilevanza sanitaria non soggette a compensazione Extraregione</t>
  </si>
  <si>
    <t>Prestazioni di assistenza riabilitativa non soggette a compensazione Extraregione</t>
  </si>
  <si>
    <t>Altre prestazioni sanitarie e socio-sanitarie a rilevanza sanitaria non soggette a compensazione Extraregione</t>
  </si>
  <si>
    <t>Altre prestazioni sanitarie a rilevanza sanitaria - Mobilità attiva Internazionale</t>
  </si>
  <si>
    <t>Ricavi per prestazioni sanitarie e sociosanitarie a rilevanza sanitaria erogate da privati v/residenti Extraregione in compensazione (mobilità attiva)</t>
  </si>
  <si>
    <t>Prestazioni di ricovero da priv. Extraregione in compensazione (mobilità attiva)</t>
  </si>
  <si>
    <t>Prestazioni ambulatoriali da priv. Extraregione in compensazione  (mobilità attiva)</t>
  </si>
  <si>
    <t>Prestazioni di File F da priv. Extraregione in compensazione (mobilità attiva)</t>
  </si>
  <si>
    <t>Altre prestazioni sanitarie e sociosanitarie a rilevanza sanitaria erogate da privati v/residenti Extraregione in compensazione (mobilità attiva)</t>
  </si>
  <si>
    <t xml:space="preserve">Ricavi per prestazioni sanitarie e sociosanitarie a rilevanza sanitaria erogate a privati 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</si>
  <si>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</si>
  <si>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</si>
  <si>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</si>
  <si>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</si>
  <si>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</si>
  <si>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</si>
  <si>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</si>
  <si>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</si>
  <si>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</si>
  <si>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</si>
  <si>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</si>
  <si>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</si>
  <si>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</si>
  <si>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</si>
  <si>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</si>
  <si>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</si>
  <si>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</si>
  <si>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</si>
  <si>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</si>
  <si>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</si>
  <si>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</si>
  <si>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</si>
  <si>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</si>
  <si>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</si>
  <si>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</si>
  <si>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</si>
  <si>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</si>
  <si>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</si>
  <si>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</si>
  <si>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</si>
  <si>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</si>
  <si>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</si>
  <si>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</si>
  <si>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</si>
  <si>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</si>
  <si>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</si>
  <si>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Ricavi per prestazioni sanitarie intramoenia - Area specialistica</t>
  </si>
  <si>
    <t>Ricavi per prestazioni sanitarie intramoenia - Area sanità pubblica</t>
  </si>
  <si>
    <t>Ricavi per prestazioni sanitarie intramoenia - Consulenze (ex art. 55 c.1 lett. c), d) ed ex art. 57-58)</t>
  </si>
  <si>
    <t>Ricavi per prestazioni sanitarie intramoenia - Consulenze (ex art. 55 c.1 lett. c), d) ed ex art. 57-58) (Aziende sanitarie pubbliche della Regione)</t>
  </si>
  <si>
    <t>Ricavi per prestazioni sanitarie intramoenia - Altro</t>
  </si>
  <si>
    <t>Ricavi per prestazioni sanitarie intramoenia - Altro (Aziende sanitarie pubbliche della Regione)</t>
  </si>
  <si>
    <t>Concorsi, recuperi e rimborsi</t>
  </si>
  <si>
    <t>Rimborsi assicurativi</t>
  </si>
  <si>
    <t>Concorsi, recuperi e rimborsi da Regione</t>
  </si>
  <si>
    <t>Rimborso degli oneri stipendiali del personale dell'azienda in posizione di comando presso la Regione</t>
  </si>
  <si>
    <t>Altri concorsi, recuperi e rimborsi da parte della Regione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</si>
  <si>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</si>
  <si>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</si>
  <si>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Rimborsi per acquisto beni da parte di Aziende sanitarie pubbliche della Regione</t>
  </si>
  <si>
    <t>Altri concorsi, recuperi e rimborsi da parte di Aziende sanitarie pubbliche della Regione</t>
  </si>
  <si>
    <t>Consulenze non sanitarie</t>
  </si>
  <si>
    <t>Altri concorsi, recuperi e rimborsi</t>
  </si>
  <si>
    <t>Concorsi, recuperi e rimborsi da altri soggetti pubblici</t>
  </si>
  <si>
    <t>Rimborso degli oneri stipendiali del personale dipendente dell'azienda in posizione di comando presso altri soggetti pubblici</t>
  </si>
  <si>
    <t>Rimborsi per acquisto beni da parte di altri soggetti pubblici</t>
  </si>
  <si>
    <t>Altri concorsi, recuperi e rimborsi da parte di altri soggetti pubblici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</si>
  <si>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</si>
  <si>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</si>
  <si>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</si>
  <si>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</si>
  <si>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</si>
  <si>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</si>
  <si>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Rimborso da aziende farmaceutiche per Pay back</t>
  </si>
  <si>
    <t>Pay-back per il superamento del tetto della spesa farmaceutica territoriale</t>
  </si>
  <si>
    <t>Pay-back per superamento del tetto della spesa farmaceutica ospedaliera</t>
  </si>
  <si>
    <t>Ulteriore Pay-back</t>
  </si>
  <si>
    <t>Altri concorsi, recuperi e rimborsi da privati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</si>
  <si>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</si>
  <si>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</si>
  <si>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</si>
  <si>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</si>
  <si>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</si>
  <si>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</si>
  <si>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</si>
  <si>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</si>
  <si>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</si>
  <si>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</si>
  <si>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</si>
  <si>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</si>
  <si>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</si>
  <si>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Compartecipazione alla spesa per prestazioni sanitarie - Ticket sulle prestazioni di specialistica ambulatoriale</t>
  </si>
  <si>
    <t>Compartecipazione alla spesa per prestazioni sanitarie - Ticket sul pronto soccorso</t>
  </si>
  <si>
    <t>Compartecipazione alla spesa per prestazioni sanitarie (Ticket) - Altro</t>
  </si>
  <si>
    <t>Quota contributi c/capitale imputata all'esercizio</t>
  </si>
  <si>
    <t>Quota imputata all'esercizio dei finanziamenti per investimenti dallo Stato</t>
  </si>
  <si>
    <t xml:space="preserve">Quota imputata all'esercizio dei finanziamenti per investimenti da Regione </t>
  </si>
  <si>
    <t>Quota imputata all'esercizio dei finanziamenti per beni di prima dotazione</t>
  </si>
  <si>
    <t>Quota imputata all'esercizio dei contributi in c/ esercizio FSR destinati ad investimenti</t>
  </si>
  <si>
    <t>Quota imputata all'esercizio degli altri contributi in c/ esercizio destinati ad investimenti</t>
  </si>
  <si>
    <t>Quota imputata all'esercizio di altre poste del patrimonio netto</t>
  </si>
  <si>
    <t>Altri ricavi e proventi</t>
  </si>
  <si>
    <t>Ricavi per prestazioni non sanitarie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</si>
  <si>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</si>
  <si>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</si>
  <si>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</si>
  <si>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</si>
  <si>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Rimborso spese condominiali</t>
  </si>
  <si>
    <t>Locazioni attive</t>
  </si>
  <si>
    <t>Altri fitti attivi ed altri proventi da attività immobiliari</t>
  </si>
  <si>
    <t>Altri proventi diversi</t>
  </si>
  <si>
    <t>Cessione gestione esercizi pubblici e macchine distributrici</t>
  </si>
  <si>
    <t>Donazioni e lasciti</t>
  </si>
  <si>
    <t>Interessi attivi</t>
  </si>
  <si>
    <t>Interessi attivi su c/tesoreria unica</t>
  </si>
  <si>
    <t>Interessi attivi su c/c postali e bancari</t>
  </si>
  <si>
    <t>Interessi attivi su depositi bancari</t>
  </si>
  <si>
    <t>Interessi attivi su depositi postali</t>
  </si>
  <si>
    <t>Altri interessi attivi</t>
  </si>
  <si>
    <t>Interessi attivi su titoli</t>
  </si>
  <si>
    <t>Altri proventi</t>
  </si>
  <si>
    <t>Proventi da partecipazioni</t>
  </si>
  <si>
    <t>Proventi finanziari da crediti iscritti nelle immobilizzazioni</t>
  </si>
  <si>
    <t>Proventi finanziari da titoli iscritti nelle immobilizzazioni</t>
  </si>
  <si>
    <t>Altri proventi finanziari diversi dai precedenti</t>
  </si>
  <si>
    <t>Utili su cambi</t>
  </si>
  <si>
    <t>Plusvalenze</t>
  </si>
  <si>
    <t>Altri proventi straordinari</t>
  </si>
  <si>
    <t>Proventi da donazioni e liberalità diverse</t>
  </si>
  <si>
    <t>Sopravvenienze attive</t>
  </si>
  <si>
    <t xml:space="preserve">Sopravvenienze attive v/Aziende sanitarie pubbliche della Regione </t>
  </si>
  <si>
    <t>Sopravvenienze attive v/terzi</t>
  </si>
  <si>
    <t>Sopravvenienze attive v/terzi relative alla mobilità extraregionale</t>
  </si>
  <si>
    <t>Sopravvenienze attive v/terzi relative al personale</t>
  </si>
  <si>
    <t>Sopravvenienze attive v/terzi relative alle convenzioni con medici di base</t>
  </si>
  <si>
    <t>Sopravvenienze attive v/terzi relative alle convenzioni per la specialistica</t>
  </si>
  <si>
    <t>Sopravvenienze attive v/terzi relative all'acquisto prestaz. sanitarie da operatori accreditati</t>
  </si>
  <si>
    <t>Sopravvenienze attive v/terzi relative all'acquisto di beni e servizi</t>
  </si>
  <si>
    <t>Altre sopravvenienze attive v/terzi</t>
  </si>
  <si>
    <t xml:space="preserve">Insussistenze attive </t>
  </si>
  <si>
    <t>Insussistenze attive v/Aziende sanitarie pubbliche della Regione</t>
  </si>
  <si>
    <t>Insussistenze attive v/terzi</t>
  </si>
  <si>
    <t>Insussistenze attive v/terzi relative alla mobilità extraregionale</t>
  </si>
  <si>
    <t>Insussistenze attive v/terzi relative al personale</t>
  </si>
  <si>
    <t>Insussistenze attive v/terzi relative alle convenzioni con medici di base</t>
  </si>
  <si>
    <t>Insussistenze attive v/terzi relative alle convenzioni per la specialistica</t>
  </si>
  <si>
    <t>Insussistenze attive v/terzi relative all'acquisto prestaz. sanitarie da operatori accreditati</t>
  </si>
  <si>
    <t>Insussistenze attive v/terzi relative all'acquisto di beni e servizi</t>
  </si>
  <si>
    <t>Altre insussistenze attive v/terzi</t>
  </si>
  <si>
    <t>Totale costi</t>
  </si>
  <si>
    <t>Totale ricavi</t>
  </si>
  <si>
    <t>Risultato</t>
  </si>
  <si>
    <t>b) Ricavi per prestazioni sanitarie e sociosanitarie - intramoenia</t>
  </si>
  <si>
    <t>d) Contributi in c/esercizio - da privati</t>
  </si>
  <si>
    <t>c) Contributi in c/esercizio per ricerca</t>
  </si>
  <si>
    <t>b) Contributi in c/esercizio extra fondo</t>
  </si>
  <si>
    <t>a) Contributi in conto esercizio da Regione  o Provincia Autonoma per quota F.S. rgionale</t>
  </si>
  <si>
    <t>c) Ricavi per prestazioni sanitarie e sociosanitarie - altro</t>
  </si>
  <si>
    <t>a) Ricavi per prestazioni sanitarie e sociosanitarie - ad aziende sanitarie pubbliche</t>
  </si>
  <si>
    <t>a) Acquisti di beni sanitari</t>
  </si>
  <si>
    <t>b) Acquisti di beni non sanitari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</si>
  <si>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</si>
  <si>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</si>
  <si>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</si>
  <si>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</si>
  <si>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</si>
  <si>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a) Ammortamento immobilizzazioni immateriali</t>
  </si>
  <si>
    <t>b) Ammortamento dei fabbricati</t>
  </si>
  <si>
    <t>c) Ammortamento delle altre immobilizzazioni materiali</t>
  </si>
  <si>
    <t>a) Variazione delle rimanenze sanitarie</t>
  </si>
  <si>
    <t>b) Variazione delle rimanenze non sanitarie</t>
  </si>
  <si>
    <t>a) Plusvalenze</t>
  </si>
  <si>
    <t>b) Altri proventi straordinari</t>
  </si>
  <si>
    <t>a) Minusvalenze</t>
  </si>
  <si>
    <t>b) Altri oneri straordinari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</si>
  <si>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</si>
  <si>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</si>
  <si>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</si>
  <si>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</si>
  <si>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Livello</t>
  </si>
  <si>
    <t xml:space="preserve"> VOCE MODELLO CE</t>
  </si>
  <si>
    <t>CODICE VOCE CE Ministeriale</t>
  </si>
  <si>
    <t>Rivalutazioni per rettifiche di valori di attività finanziarie</t>
  </si>
  <si>
    <t>Gruppo</t>
  </si>
  <si>
    <t>Sottogruppo</t>
  </si>
  <si>
    <t>Sottomastro</t>
  </si>
  <si>
    <t>Sottoconto</t>
  </si>
  <si>
    <t>SCHEMA DI BILANCIO</t>
  </si>
  <si>
    <t xml:space="preserve">Mastro </t>
  </si>
  <si>
    <t xml:space="preserve">Conto </t>
  </si>
  <si>
    <t>Anno 2015</t>
  </si>
  <si>
    <t>Anno 2014</t>
  </si>
  <si>
    <t>VARIAZIONE 2015/2014</t>
  </si>
  <si>
    <t>Importo anno 2015</t>
  </si>
  <si>
    <t>Importo anno 2014</t>
  </si>
  <si>
    <t>TFR personale dipendente</t>
  </si>
  <si>
    <t>riclassif-non spedito</t>
  </si>
  <si>
    <t>spostato sopra</t>
  </si>
  <si>
    <t>comp.327.510</t>
  </si>
  <si>
    <t>spostato a I45</t>
  </si>
  <si>
    <t>riceve I54</t>
  </si>
  <si>
    <t>+389646 resto I53</t>
  </si>
  <si>
    <t>+2845470 parte I53</t>
  </si>
  <si>
    <t>spostato parte I41 e parte I44</t>
  </si>
  <si>
    <t>spostato I94</t>
  </si>
  <si>
    <t>riceve I80</t>
  </si>
  <si>
    <t>spostati a I203</t>
  </si>
  <si>
    <t>spostati a I204</t>
  </si>
  <si>
    <t>riceve da I131 e I135</t>
  </si>
  <si>
    <t>riceve da I164</t>
  </si>
  <si>
    <t>spostato I147</t>
  </si>
  <si>
    <t>DELTA CONS./PREV. 2015</t>
  </si>
  <si>
    <t>DIFF.CONS 2015/CONS 2014</t>
  </si>
  <si>
    <t>DIFF.% CONS 15/CONS 14</t>
  </si>
  <si>
    <t>DIFF.% CONS 15/PREV 15</t>
  </si>
  <si>
    <t>SCHEMA DI BILANCIO
Decreto interministeriale 20 marzo 2013</t>
  </si>
  <si>
    <t>precons</t>
  </si>
  <si>
    <t>Preconsuntivo anno 2015</t>
  </si>
  <si>
    <t xml:space="preserve">-    </t>
  </si>
  <si>
    <t>Bilancio d'esercizio 2015</t>
  </si>
  <si>
    <t>(Approvato con deliberazione del Direttore Generale n.108 del 3.05.2016)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</si>
</sst>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#,###"/>
    <numFmt numFmtId="168" formatCode="#,##0;\(#,##0\)"/>
    <numFmt numFmtId="169" formatCode="00"/>
    <numFmt numFmtId="170" formatCode="#,##0.00;\(#,##0.00\)"/>
    <numFmt numFmtId="171" formatCode="#,##0.00_ ;[Red]\-#,##0.00\ "/>
    <numFmt numFmtId="172" formatCode="_-* #,##0.00_-;\-* #,##0.00_-;_-* &quot;-&quot;_-;_-@_-"/>
    <numFmt numFmtId="173" formatCode="#,##0_ ;[Red]\-#,##0\ "/>
    <numFmt numFmtId="174" formatCode="#,##0.0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0.0%"/>
    <numFmt numFmtId="185" formatCode="0.000%"/>
    <numFmt numFmtId="186" formatCode="_-[$€]\ * #,##0.00_-;\-[$€]\ * #,##0.00_-;_-[$€]\ * &quot;-&quot;??_-;_-@_-"/>
    <numFmt numFmtId="187" formatCode="_(* #,##0_);_(* \(#,##0\);_(* &quot;-&quot;_);_(@_)"/>
    <numFmt numFmtId="188" formatCode="_(&quot;$&quot;* #,##0_);_(&quot;$&quot;* \(#,##0\);_(&quot;$&quot;* &quot;-&quot;_);_(@_)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#,##0.00;[Red]#,##0.00"/>
    <numFmt numFmtId="194" formatCode="&quot;Attivo&quot;;&quot;Attivo&quot;;&quot;Inattivo&quot;"/>
    <numFmt numFmtId="195" formatCode="0.0"/>
    <numFmt numFmtId="196" formatCode="_ * #,##0_ ;_ * \-#,##0_ ;_ * &quot;-&quot;_ ;_ @_ "/>
    <numFmt numFmtId="197" formatCode="_ * #,##0.00_ ;_ * \-#,##0.00_ ;_ * &quot;-&quot;??_ ;_ @_ "/>
    <numFmt numFmtId="198" formatCode="_ * #,##0_ ;_ * \-#,##0_ ;_ * &quot;-&quot;??_ ;_ @_ "/>
    <numFmt numFmtId="199" formatCode="_-* #,##0.00_-;\-* #,##0.00_-;_-* \-??_-;_-@_-"/>
    <numFmt numFmtId="200" formatCode="_-* #,##0_-;\-* #,##0_-;_-* \-??_-;_-@_-"/>
    <numFmt numFmtId="201" formatCode="_(* #,##0.00_);_(* \(#,##0.00\);_(* \-??_);_(@_)"/>
    <numFmt numFmtId="202" formatCode="_(* #,##0_);_(* \(#,##0\);_(* \-??_);_(@_)"/>
    <numFmt numFmtId="203" formatCode="_ * #,##0_ ;_ * \-#,##0_ ;_ * \-_ ;_ @_ "/>
    <numFmt numFmtId="204" formatCode="_ * #,##0.00_ ;_ * \-#,##0.00_ ;_ * \-??_ ;_ @_ "/>
    <numFmt numFmtId="205" formatCode="_(* #,##0_);_(* \(#,##0\);_(* \-_);_(@_)"/>
    <numFmt numFmtId="206" formatCode="_ * #,##0_ ;_ * \-#,##0_ ;_ * \-??_ ;_ @_ "/>
    <numFmt numFmtId="207" formatCode="#,##0.0;\(#,##0.0\)"/>
    <numFmt numFmtId="208" formatCode="[$-410]dddd\ d\ mmmm\ yyyy"/>
    <numFmt numFmtId="209" formatCode="h\.mm\.ss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b/>
      <sz val="12"/>
      <name val="New Century Schlbk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2"/>
      <color indexed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u val="single"/>
      <sz val="10"/>
      <name val="Tahoma"/>
      <family val="2"/>
    </font>
    <font>
      <u val="single"/>
      <sz val="10"/>
      <name val="Arial"/>
      <family val="2"/>
    </font>
    <font>
      <sz val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4"/>
      <name val="DecimaWE Rg"/>
      <family val="0"/>
    </font>
    <font>
      <b/>
      <sz val="7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0"/>
      <name val="Times New Roman"/>
      <family val="1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34" fillId="3" borderId="0" applyNumberFormat="0" applyBorder="0" applyAlignment="0" applyProtection="0"/>
    <xf numFmtId="0" fontId="62" fillId="4" borderId="0" applyNumberFormat="0" applyBorder="0" applyAlignment="0" applyProtection="0"/>
    <xf numFmtId="0" fontId="34" fillId="5" borderId="0" applyNumberFormat="0" applyBorder="0" applyAlignment="0" applyProtection="0"/>
    <xf numFmtId="0" fontId="62" fillId="6" borderId="0" applyNumberFormat="0" applyBorder="0" applyAlignment="0" applyProtection="0"/>
    <xf numFmtId="0" fontId="34" fillId="7" borderId="0" applyNumberFormat="0" applyBorder="0" applyAlignment="0" applyProtection="0"/>
    <xf numFmtId="0" fontId="62" fillId="8" borderId="0" applyNumberFormat="0" applyBorder="0" applyAlignment="0" applyProtection="0"/>
    <xf numFmtId="0" fontId="34" fillId="3" borderId="0" applyNumberFormat="0" applyBorder="0" applyAlignment="0" applyProtection="0"/>
    <xf numFmtId="0" fontId="62" fillId="9" borderId="0" applyNumberFormat="0" applyBorder="0" applyAlignment="0" applyProtection="0"/>
    <xf numFmtId="0" fontId="34" fillId="10" borderId="0" applyNumberFormat="0" applyBorder="0" applyAlignment="0" applyProtection="0"/>
    <xf numFmtId="0" fontId="62" fillId="11" borderId="0" applyNumberFormat="0" applyBorder="0" applyAlignment="0" applyProtection="0"/>
    <xf numFmtId="0" fontId="34" fillId="5" borderId="0" applyNumberFormat="0" applyBorder="0" applyAlignment="0" applyProtection="0"/>
    <xf numFmtId="0" fontId="62" fillId="12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34" fillId="15" borderId="0" applyNumberFormat="0" applyBorder="0" applyAlignment="0" applyProtection="0"/>
    <xf numFmtId="0" fontId="62" fillId="16" borderId="0" applyNumberFormat="0" applyBorder="0" applyAlignment="0" applyProtection="0"/>
    <xf numFmtId="0" fontId="34" fillId="17" borderId="0" applyNumberFormat="0" applyBorder="0" applyAlignment="0" applyProtection="0"/>
    <xf numFmtId="0" fontId="62" fillId="18" borderId="0" applyNumberFormat="0" applyBorder="0" applyAlignment="0" applyProtection="0"/>
    <xf numFmtId="0" fontId="34" fillId="13" borderId="0" applyNumberFormat="0" applyBorder="0" applyAlignment="0" applyProtection="0"/>
    <xf numFmtId="0" fontId="62" fillId="19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34" fillId="5" borderId="0" applyNumberFormat="0" applyBorder="0" applyAlignment="0" applyProtection="0"/>
    <xf numFmtId="0" fontId="63" fillId="22" borderId="0" applyNumberFormat="0" applyBorder="0" applyAlignment="0" applyProtection="0"/>
    <xf numFmtId="0" fontId="35" fillId="23" borderId="0" applyNumberFormat="0" applyBorder="0" applyAlignment="0" applyProtection="0"/>
    <xf numFmtId="0" fontId="63" fillId="24" borderId="0" applyNumberFormat="0" applyBorder="0" applyAlignment="0" applyProtection="0"/>
    <xf numFmtId="0" fontId="35" fillId="15" borderId="0" applyNumberFormat="0" applyBorder="0" applyAlignment="0" applyProtection="0"/>
    <xf numFmtId="0" fontId="63" fillId="25" borderId="0" applyNumberFormat="0" applyBorder="0" applyAlignment="0" applyProtection="0"/>
    <xf numFmtId="0" fontId="35" fillId="17" borderId="0" applyNumberFormat="0" applyBorder="0" applyAlignment="0" applyProtection="0"/>
    <xf numFmtId="0" fontId="63" fillId="26" borderId="0" applyNumberFormat="0" applyBorder="0" applyAlignment="0" applyProtection="0"/>
    <xf numFmtId="0" fontId="35" fillId="13" borderId="0" applyNumberFormat="0" applyBorder="0" applyAlignment="0" applyProtection="0"/>
    <xf numFmtId="0" fontId="63" fillId="27" borderId="0" applyNumberFormat="0" applyBorder="0" applyAlignment="0" applyProtection="0"/>
    <xf numFmtId="0" fontId="35" fillId="23" borderId="0" applyNumberFormat="0" applyBorder="0" applyAlignment="0" applyProtection="0"/>
    <xf numFmtId="0" fontId="63" fillId="28" borderId="0" applyNumberFormat="0" applyBorder="0" applyAlignment="0" applyProtection="0"/>
    <xf numFmtId="0" fontId="35" fillId="5" borderId="0" applyNumberFormat="0" applyBorder="0" applyAlignment="0" applyProtection="0"/>
    <xf numFmtId="0" fontId="64" fillId="29" borderId="1" applyNumberFormat="0" applyAlignment="0" applyProtection="0"/>
    <xf numFmtId="0" fontId="36" fillId="3" borderId="2" applyNumberFormat="0" applyAlignment="0" applyProtection="0"/>
    <xf numFmtId="0" fontId="65" fillId="0" borderId="3" applyNumberFormat="0" applyFill="0" applyAlignment="0" applyProtection="0"/>
    <xf numFmtId="0" fontId="37" fillId="0" borderId="4" applyNumberFormat="0" applyFill="0" applyAlignment="0" applyProtection="0"/>
    <xf numFmtId="0" fontId="66" fillId="30" borderId="5" applyNumberFormat="0" applyAlignment="0" applyProtection="0"/>
    <xf numFmtId="0" fontId="38" fillId="3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35" fillId="23" borderId="0" applyNumberFormat="0" applyBorder="0" applyAlignment="0" applyProtection="0"/>
    <xf numFmtId="0" fontId="63" fillId="33" borderId="0" applyNumberFormat="0" applyBorder="0" applyAlignment="0" applyProtection="0"/>
    <xf numFmtId="0" fontId="35" fillId="34" borderId="0" applyNumberFormat="0" applyBorder="0" applyAlignment="0" applyProtection="0"/>
    <xf numFmtId="0" fontId="63" fillId="35" borderId="0" applyNumberFormat="0" applyBorder="0" applyAlignment="0" applyProtection="0"/>
    <xf numFmtId="0" fontId="35" fillId="36" borderId="0" applyNumberFormat="0" applyBorder="0" applyAlignment="0" applyProtection="0"/>
    <xf numFmtId="0" fontId="63" fillId="37" borderId="0" applyNumberFormat="0" applyBorder="0" applyAlignment="0" applyProtection="0"/>
    <xf numFmtId="0" fontId="35" fillId="38" borderId="0" applyNumberFormat="0" applyBorder="0" applyAlignment="0" applyProtection="0"/>
    <xf numFmtId="0" fontId="63" fillId="39" borderId="0" applyNumberFormat="0" applyBorder="0" applyAlignment="0" applyProtection="0"/>
    <xf numFmtId="0" fontId="35" fillId="23" borderId="0" applyNumberFormat="0" applyBorder="0" applyAlignment="0" applyProtection="0"/>
    <xf numFmtId="0" fontId="63" fillId="40" borderId="0" applyNumberFormat="0" applyBorder="0" applyAlignment="0" applyProtection="0"/>
    <xf numFmtId="0" fontId="35" fillId="41" borderId="0" applyNumberFormat="0" applyBorder="0" applyAlignment="0" applyProtection="0"/>
    <xf numFmtId="3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ill="0" applyBorder="0" applyAlignment="0" applyProtection="0"/>
    <xf numFmtId="4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42" borderId="1" applyNumberFormat="0" applyAlignment="0" applyProtection="0"/>
    <xf numFmtId="0" fontId="32" fillId="5" borderId="2" applyNumberFormat="0" applyAlignment="0" applyProtection="0"/>
    <xf numFmtId="43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40" fillId="0" borderId="0" applyFill="0" applyBorder="0" applyAlignment="0" applyProtection="0"/>
    <xf numFmtId="0" fontId="68" fillId="43" borderId="0" applyNumberFormat="0" applyBorder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0" fillId="44" borderId="7" applyNumberFormat="0" applyFont="0" applyAlignment="0" applyProtection="0"/>
    <xf numFmtId="0" fontId="40" fillId="7" borderId="8" applyNumberFormat="0" applyAlignment="0" applyProtection="0"/>
    <xf numFmtId="0" fontId="69" fillId="29" borderId="9" applyNumberFormat="0" applyAlignment="0" applyProtection="0"/>
    <xf numFmtId="0" fontId="33" fillId="13" borderId="10" applyNumberFormat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0" fillId="45" borderId="11">
      <alignment vertical="center"/>
      <protection/>
    </xf>
    <xf numFmtId="49" fontId="0" fillId="46" borderId="11">
      <alignment vertical="center"/>
      <protection/>
    </xf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5" fillId="0" borderId="0">
      <alignment horizontal="left"/>
      <protection/>
    </xf>
    <xf numFmtId="0" fontId="72" fillId="0" borderId="12" applyNumberFormat="0" applyFill="0" applyAlignment="0" applyProtection="0"/>
    <xf numFmtId="0" fontId="44" fillId="0" borderId="13" applyNumberFormat="0" applyFill="0" applyAlignment="0" applyProtection="0"/>
    <xf numFmtId="0" fontId="73" fillId="0" borderId="14" applyNumberFormat="0" applyFill="0" applyAlignment="0" applyProtection="0"/>
    <xf numFmtId="0" fontId="45" fillId="0" borderId="15" applyNumberFormat="0" applyFill="0" applyAlignment="0" applyProtection="0"/>
    <xf numFmtId="0" fontId="74" fillId="0" borderId="16" applyNumberFormat="0" applyFill="0" applyAlignment="0" applyProtection="0"/>
    <xf numFmtId="0" fontId="46" fillId="0" borderId="17" applyNumberFormat="0" applyFill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33" fillId="0" borderId="19" applyNumberFormat="0" applyFill="0" applyAlignment="0" applyProtection="0"/>
    <xf numFmtId="0" fontId="76" fillId="47" borderId="0" applyNumberFormat="0" applyBorder="0" applyAlignment="0" applyProtection="0"/>
    <xf numFmtId="0" fontId="47" fillId="48" borderId="0" applyNumberFormat="0" applyBorder="0" applyAlignment="0" applyProtection="0"/>
    <xf numFmtId="0" fontId="77" fillId="49" borderId="0" applyNumberFormat="0" applyBorder="0" applyAlignment="0" applyProtection="0"/>
    <xf numFmtId="0" fontId="48" fillId="50" borderId="0" applyNumberFormat="0" applyBorder="0" applyAlignment="0" applyProtection="0"/>
    <xf numFmtId="166" fontId="0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20" xfId="0" applyFont="1" applyBorder="1" applyAlignment="1">
      <alignment/>
    </xf>
    <xf numFmtId="0" fontId="7" fillId="0" borderId="21" xfId="0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4" fillId="0" borderId="21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 quotePrefix="1">
      <alignment horizontal="left"/>
      <protection/>
    </xf>
    <xf numFmtId="0" fontId="6" fillId="0" borderId="21" xfId="0" applyFont="1" applyBorder="1" applyAlignment="1">
      <alignment/>
    </xf>
    <xf numFmtId="0" fontId="1" fillId="0" borderId="0" xfId="0" applyFont="1" applyAlignment="1">
      <alignment/>
    </xf>
    <xf numFmtId="168" fontId="6" fillId="0" borderId="22" xfId="82" applyNumberFormat="1" applyFont="1" applyBorder="1" applyAlignment="1" applyProtection="1">
      <alignment horizontal="right"/>
      <protection/>
    </xf>
    <xf numFmtId="168" fontId="6" fillId="0" borderId="22" xfId="82" applyNumberFormat="1" applyFont="1" applyBorder="1" applyAlignment="1">
      <alignment horizontal="right"/>
    </xf>
    <xf numFmtId="0" fontId="6" fillId="0" borderId="21" xfId="0" applyFont="1" applyBorder="1" applyAlignment="1" applyProtection="1">
      <alignment horizontal="left"/>
      <protection/>
    </xf>
    <xf numFmtId="168" fontId="6" fillId="0" borderId="22" xfId="82" applyNumberFormat="1" applyFont="1" applyFill="1" applyBorder="1" applyAlignment="1" applyProtection="1">
      <alignment horizontal="right"/>
      <protection/>
    </xf>
    <xf numFmtId="168" fontId="6" fillId="0" borderId="22" xfId="82" applyNumberFormat="1" applyFont="1" applyFill="1" applyBorder="1" applyAlignment="1">
      <alignment horizontal="right"/>
    </xf>
    <xf numFmtId="168" fontId="8" fillId="0" borderId="0" xfId="82" applyNumberFormat="1" applyFont="1" applyFill="1" applyAlignment="1">
      <alignment/>
    </xf>
    <xf numFmtId="168" fontId="6" fillId="0" borderId="23" xfId="82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/>
    </xf>
    <xf numFmtId="167" fontId="12" fillId="0" borderId="24" xfId="122" applyFont="1" applyBorder="1" applyAlignment="1">
      <alignment horizontal="left" vertical="center"/>
      <protection/>
    </xf>
    <xf numFmtId="0" fontId="8" fillId="0" borderId="0" xfId="0" applyFont="1" applyFill="1" applyAlignment="1">
      <alignment/>
    </xf>
    <xf numFmtId="2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168" fontId="6" fillId="0" borderId="0" xfId="8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168" fontId="6" fillId="0" borderId="21" xfId="82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168" fontId="6" fillId="0" borderId="25" xfId="82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168" fontId="4" fillId="0" borderId="29" xfId="82" applyNumberFormat="1" applyFont="1" applyFill="1" applyBorder="1" applyAlignment="1">
      <alignment horizontal="right"/>
    </xf>
    <xf numFmtId="0" fontId="28" fillId="0" borderId="0" xfId="107" applyFont="1" applyFill="1" applyAlignment="1">
      <alignment vertical="center"/>
      <protection/>
    </xf>
    <xf numFmtId="0" fontId="24" fillId="0" borderId="0" xfId="107" applyFont="1" applyFill="1" applyAlignment="1">
      <alignment vertical="center"/>
      <protection/>
    </xf>
    <xf numFmtId="0" fontId="21" fillId="0" borderId="30" xfId="96" applyFont="1" applyFill="1" applyBorder="1" applyAlignment="1" applyProtection="1">
      <alignment horizontal="center" vertical="center"/>
      <protection/>
    </xf>
    <xf numFmtId="0" fontId="25" fillId="0" borderId="0" xfId="107" applyFont="1" applyFill="1" applyAlignment="1">
      <alignment vertical="center"/>
      <protection/>
    </xf>
    <xf numFmtId="0" fontId="21" fillId="0" borderId="0" xfId="107" applyFont="1" applyFill="1" applyAlignment="1">
      <alignment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12" fillId="0" borderId="26" xfId="0" applyFont="1" applyBorder="1" applyAlignment="1" applyProtection="1">
      <alignment horizontal="center" vertical="center" wrapText="1"/>
      <protection/>
    </xf>
    <xf numFmtId="0" fontId="21" fillId="0" borderId="31" xfId="96" applyFont="1" applyFill="1" applyBorder="1" applyAlignment="1" applyProtection="1">
      <alignment horizontal="center" vertical="center"/>
      <protection/>
    </xf>
    <xf numFmtId="0" fontId="21" fillId="0" borderId="0" xfId="96" applyFont="1" applyFill="1" applyBorder="1" applyAlignment="1" applyProtection="1">
      <alignment horizontal="center" vertical="center"/>
      <protection/>
    </xf>
    <xf numFmtId="0" fontId="27" fillId="0" borderId="32" xfId="96" applyFont="1" applyFill="1" applyBorder="1" applyAlignment="1" applyProtection="1">
      <alignment horizontal="left" vertical="center" wrapText="1"/>
      <protection/>
    </xf>
    <xf numFmtId="0" fontId="21" fillId="0" borderId="32" xfId="96" applyFont="1" applyFill="1" applyBorder="1" applyAlignment="1" applyProtection="1">
      <alignment horizontal="left" vertical="center" wrapText="1"/>
      <protection/>
    </xf>
    <xf numFmtId="0" fontId="31" fillId="0" borderId="0" xfId="107" applyFont="1" applyFill="1" applyAlignment="1">
      <alignment vertical="center"/>
      <protection/>
    </xf>
    <xf numFmtId="0" fontId="31" fillId="0" borderId="0" xfId="107" applyFont="1" applyFill="1" applyAlignment="1">
      <alignment horizontal="left" vertical="center"/>
      <protection/>
    </xf>
    <xf numFmtId="0" fontId="21" fillId="0" borderId="0" xfId="107" applyFont="1" applyFill="1" applyAlignment="1">
      <alignment horizontal="center" vertical="center"/>
      <protection/>
    </xf>
    <xf numFmtId="0" fontId="21" fillId="0" borderId="0" xfId="107" applyFont="1" applyFill="1" applyBorder="1" applyAlignment="1">
      <alignment vertical="center"/>
      <protection/>
    </xf>
    <xf numFmtId="0" fontId="27" fillId="51" borderId="33" xfId="96" applyFont="1" applyFill="1" applyBorder="1" applyAlignment="1" applyProtection="1">
      <alignment horizontal="right" vertical="center" wrapText="1"/>
      <protection/>
    </xf>
    <xf numFmtId="0" fontId="27" fillId="51" borderId="34" xfId="96" applyFont="1" applyFill="1" applyBorder="1" applyAlignment="1" applyProtection="1">
      <alignment horizontal="right" vertical="center" wrapText="1"/>
      <protection/>
    </xf>
    <xf numFmtId="0" fontId="21" fillId="0" borderId="25" xfId="96" applyFont="1" applyFill="1" applyBorder="1" applyAlignment="1" applyProtection="1">
      <alignment horizontal="right" vertical="center" wrapText="1"/>
      <protection/>
    </xf>
    <xf numFmtId="0" fontId="27" fillId="0" borderId="25" xfId="96" applyFont="1" applyFill="1" applyBorder="1" applyAlignment="1" applyProtection="1">
      <alignment horizontal="right" vertical="center" wrapText="1"/>
      <protection/>
    </xf>
    <xf numFmtId="0" fontId="21" fillId="0" borderId="35" xfId="96" applyFont="1" applyFill="1" applyBorder="1" applyAlignment="1" applyProtection="1">
      <alignment horizontal="right" vertical="center" wrapText="1"/>
      <protection/>
    </xf>
    <xf numFmtId="0" fontId="21" fillId="0" borderId="25" xfId="96" applyFont="1" applyFill="1" applyBorder="1" applyAlignment="1" applyProtection="1">
      <alignment horizontal="right" vertical="center"/>
      <protection/>
    </xf>
    <xf numFmtId="0" fontId="27" fillId="0" borderId="25" xfId="96" applyFont="1" applyFill="1" applyBorder="1" applyAlignment="1" applyProtection="1">
      <alignment horizontal="right" vertical="center"/>
      <protection/>
    </xf>
    <xf numFmtId="0" fontId="21" fillId="0" borderId="23" xfId="96" applyFont="1" applyFill="1" applyBorder="1" applyAlignment="1" applyProtection="1">
      <alignment horizontal="right" vertical="center" wrapText="1"/>
      <protection/>
    </xf>
    <xf numFmtId="0" fontId="21" fillId="0" borderId="35" xfId="96" applyFont="1" applyFill="1" applyBorder="1" applyAlignment="1" applyProtection="1">
      <alignment horizontal="right" vertical="center"/>
      <protection/>
    </xf>
    <xf numFmtId="0" fontId="31" fillId="0" borderId="0" xfId="107" applyFont="1" applyFill="1" applyAlignment="1">
      <alignment horizontal="center" vertical="center"/>
      <protection/>
    </xf>
    <xf numFmtId="0" fontId="27" fillId="0" borderId="36" xfId="96" applyFont="1" applyFill="1" applyBorder="1" applyAlignment="1" applyProtection="1">
      <alignment horizontal="right" vertical="center"/>
      <protection/>
    </xf>
    <xf numFmtId="0" fontId="21" fillId="0" borderId="24" xfId="96" applyFont="1" applyFill="1" applyBorder="1" applyAlignment="1" applyProtection="1">
      <alignment horizontal="left" vertical="center" wrapText="1"/>
      <protection/>
    </xf>
    <xf numFmtId="0" fontId="27" fillId="0" borderId="22" xfId="96" applyFont="1" applyFill="1" applyBorder="1" applyAlignment="1" applyProtection="1">
      <alignment horizontal="right" vertical="center"/>
      <protection/>
    </xf>
    <xf numFmtId="0" fontId="26" fillId="0" borderId="0" xfId="107" applyFont="1" applyFill="1" applyAlignment="1">
      <alignment vertical="center"/>
      <protection/>
    </xf>
    <xf numFmtId="0" fontId="21" fillId="0" borderId="36" xfId="96" applyFont="1" applyFill="1" applyBorder="1" applyAlignment="1" applyProtection="1">
      <alignment horizontal="right" vertical="center"/>
      <protection/>
    </xf>
    <xf numFmtId="0" fontId="21" fillId="0" borderId="37" xfId="96" applyFont="1" applyFill="1" applyBorder="1" applyAlignment="1" applyProtection="1">
      <alignment horizontal="right" vertical="center"/>
      <protection/>
    </xf>
    <xf numFmtId="0" fontId="21" fillId="0" borderId="38" xfId="96" applyFont="1" applyFill="1" applyBorder="1" applyAlignment="1" applyProtection="1">
      <alignment horizontal="right" vertical="center"/>
      <protection/>
    </xf>
    <xf numFmtId="0" fontId="27" fillId="0" borderId="38" xfId="96" applyFont="1" applyFill="1" applyBorder="1" applyAlignment="1" applyProtection="1">
      <alignment horizontal="right" vertical="center"/>
      <protection/>
    </xf>
    <xf numFmtId="0" fontId="27" fillId="0" borderId="39" xfId="96" applyFont="1" applyFill="1" applyBorder="1" applyAlignment="1" applyProtection="1">
      <alignment horizontal="left" vertical="center" wrapText="1"/>
      <protection/>
    </xf>
    <xf numFmtId="10" fontId="6" fillId="0" borderId="0" xfId="82" applyNumberFormat="1" applyFont="1" applyFill="1" applyBorder="1" applyAlignment="1" applyProtection="1">
      <alignment horizontal="right"/>
      <protection/>
    </xf>
    <xf numFmtId="10" fontId="6" fillId="0" borderId="40" xfId="82" applyNumberFormat="1" applyFont="1" applyFill="1" applyBorder="1" applyAlignment="1" applyProtection="1" quotePrefix="1">
      <alignment horizontal="center" vertical="center" wrapText="1"/>
      <protection/>
    </xf>
    <xf numFmtId="10" fontId="6" fillId="0" borderId="41" xfId="82" applyNumberFormat="1" applyFont="1" applyFill="1" applyBorder="1" applyAlignment="1" applyProtection="1">
      <alignment horizontal="right" vertical="center" wrapText="1"/>
      <protection/>
    </xf>
    <xf numFmtId="10" fontId="6" fillId="0" borderId="42" xfId="82" applyNumberFormat="1" applyFont="1" applyFill="1" applyBorder="1" applyAlignment="1" applyProtection="1">
      <alignment horizontal="right"/>
      <protection/>
    </xf>
    <xf numFmtId="10" fontId="6" fillId="0" borderId="42" xfId="82" applyNumberFormat="1" applyFont="1" applyBorder="1" applyAlignment="1" applyProtection="1">
      <alignment horizontal="right"/>
      <protection/>
    </xf>
    <xf numFmtId="10" fontId="6" fillId="0" borderId="42" xfId="82" applyNumberFormat="1" applyFont="1" applyBorder="1" applyAlignment="1">
      <alignment horizontal="right"/>
    </xf>
    <xf numFmtId="10" fontId="6" fillId="0" borderId="42" xfId="82" applyNumberFormat="1" applyFont="1" applyFill="1" applyBorder="1" applyAlignment="1">
      <alignment horizontal="right"/>
    </xf>
    <xf numFmtId="10" fontId="4" fillId="0" borderId="43" xfId="82" applyNumberFormat="1" applyFont="1" applyFill="1" applyBorder="1" applyAlignment="1">
      <alignment horizontal="right"/>
    </xf>
    <xf numFmtId="10" fontId="8" fillId="0" borderId="0" xfId="82" applyNumberFormat="1" applyFont="1" applyFill="1" applyAlignment="1">
      <alignment/>
    </xf>
    <xf numFmtId="168" fontId="4" fillId="0" borderId="22" xfId="82" applyNumberFormat="1" applyFont="1" applyFill="1" applyBorder="1" applyAlignment="1">
      <alignment/>
    </xf>
    <xf numFmtId="0" fontId="1" fillId="0" borderId="0" xfId="0" applyFont="1" applyAlignment="1">
      <alignment/>
    </xf>
    <xf numFmtId="168" fontId="4" fillId="0" borderId="22" xfId="82" applyNumberFormat="1" applyFont="1" applyBorder="1" applyAlignment="1" applyProtection="1">
      <alignment horizontal="right"/>
      <protection/>
    </xf>
    <xf numFmtId="10" fontId="4" fillId="0" borderId="42" xfId="82" applyNumberFormat="1" applyFont="1" applyBorder="1" applyAlignment="1" applyProtection="1">
      <alignment horizontal="right"/>
      <protection/>
    </xf>
    <xf numFmtId="168" fontId="4" fillId="52" borderId="25" xfId="82" applyNumberFormat="1" applyFont="1" applyFill="1" applyBorder="1" applyAlignment="1" applyProtection="1">
      <alignment horizontal="right"/>
      <protection/>
    </xf>
    <xf numFmtId="10" fontId="4" fillId="52" borderId="40" xfId="82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68" fontId="4" fillId="52" borderId="44" xfId="82" applyNumberFormat="1" applyFont="1" applyFill="1" applyBorder="1" applyAlignment="1" applyProtection="1">
      <alignment horizontal="right"/>
      <protection/>
    </xf>
    <xf numFmtId="10" fontId="4" fillId="52" borderId="45" xfId="82" applyNumberFormat="1" applyFont="1" applyFill="1" applyBorder="1" applyAlignment="1" applyProtection="1">
      <alignment horizontal="right"/>
      <protection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8" fontId="4" fillId="0" borderId="22" xfId="82" applyNumberFormat="1" applyFont="1" applyBorder="1" applyAlignment="1">
      <alignment horizontal="right"/>
    </xf>
    <xf numFmtId="10" fontId="4" fillId="0" borderId="42" xfId="82" applyNumberFormat="1" applyFont="1" applyBorder="1" applyAlignment="1">
      <alignment horizontal="right"/>
    </xf>
    <xf numFmtId="10" fontId="6" fillId="0" borderId="0" xfId="0" applyNumberFormat="1" applyFont="1" applyAlignment="1">
      <alignment/>
    </xf>
    <xf numFmtId="10" fontId="4" fillId="0" borderId="0" xfId="0" applyNumberFormat="1" applyFont="1" applyBorder="1" applyAlignment="1">
      <alignment horizontal="center"/>
    </xf>
    <xf numFmtId="168" fontId="6" fillId="0" borderId="24" xfId="0" applyNumberFormat="1" applyFont="1" applyBorder="1" applyAlignment="1" applyProtection="1">
      <alignment horizontal="right" vertical="center" wrapText="1"/>
      <protection/>
    </xf>
    <xf numFmtId="168" fontId="6" fillId="0" borderId="0" xfId="0" applyNumberFormat="1" applyFont="1" applyBorder="1" applyAlignment="1" applyProtection="1">
      <alignment horizontal="right" vertical="center" wrapText="1"/>
      <protection/>
    </xf>
    <xf numFmtId="10" fontId="6" fillId="0" borderId="41" xfId="0" applyNumberFormat="1" applyFont="1" applyBorder="1" applyAlignment="1" applyProtection="1">
      <alignment horizontal="right" vertical="center" wrapText="1"/>
      <protection/>
    </xf>
    <xf numFmtId="3" fontId="6" fillId="0" borderId="2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46" xfId="0" applyNumberFormat="1" applyFont="1" applyBorder="1" applyAlignment="1" applyProtection="1">
      <alignment horizontal="right"/>
      <protection/>
    </xf>
    <xf numFmtId="3" fontId="6" fillId="0" borderId="47" xfId="0" applyNumberFormat="1" applyFont="1" applyBorder="1" applyAlignment="1" applyProtection="1">
      <alignment/>
      <protection/>
    </xf>
    <xf numFmtId="3" fontId="6" fillId="0" borderId="48" xfId="0" applyNumberFormat="1" applyFont="1" applyBorder="1" applyAlignment="1" applyProtection="1">
      <alignment/>
      <protection/>
    </xf>
    <xf numFmtId="3" fontId="6" fillId="0" borderId="2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 applyProtection="1">
      <alignment horizontal="right"/>
      <protection/>
    </xf>
    <xf numFmtId="10" fontId="23" fillId="0" borderId="42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/>
    </xf>
    <xf numFmtId="3" fontId="4" fillId="0" borderId="22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27" fillId="51" borderId="50" xfId="96" applyFont="1" applyFill="1" applyBorder="1" applyAlignment="1" applyProtection="1">
      <alignment horizontal="left" vertical="center" wrapText="1"/>
      <protection/>
    </xf>
    <xf numFmtId="0" fontId="27" fillId="51" borderId="51" xfId="96" applyFont="1" applyFill="1" applyBorder="1" applyAlignment="1" applyProtection="1">
      <alignment horizontal="center" vertical="center" wrapText="1"/>
      <protection/>
    </xf>
    <xf numFmtId="0" fontId="27" fillId="0" borderId="32" xfId="106" applyFont="1" applyFill="1" applyBorder="1" applyAlignment="1">
      <alignment vertical="center" wrapText="1"/>
      <protection/>
    </xf>
    <xf numFmtId="0" fontId="25" fillId="0" borderId="0" xfId="107" applyFont="1" applyFill="1" applyBorder="1" applyAlignment="1">
      <alignment vertical="center" wrapText="1"/>
      <protection/>
    </xf>
    <xf numFmtId="0" fontId="25" fillId="0" borderId="0" xfId="107" applyFont="1" applyFill="1" applyAlignment="1">
      <alignment vertical="center" wrapText="1"/>
      <protection/>
    </xf>
    <xf numFmtId="0" fontId="21" fillId="0" borderId="0" xfId="107" applyFont="1" applyFill="1" applyBorder="1" applyAlignment="1">
      <alignment horizontal="center" vertical="center" wrapText="1"/>
      <protection/>
    </xf>
    <xf numFmtId="0" fontId="27" fillId="0" borderId="52" xfId="106" applyFont="1" applyFill="1" applyBorder="1" applyAlignment="1">
      <alignment vertical="center" wrapText="1"/>
      <protection/>
    </xf>
    <xf numFmtId="0" fontId="21" fillId="0" borderId="30" xfId="96" applyFont="1" applyFill="1" applyBorder="1" applyAlignment="1" applyProtection="1">
      <alignment horizontal="center" vertical="center" wrapText="1"/>
      <protection/>
    </xf>
    <xf numFmtId="0" fontId="25" fillId="0" borderId="0" xfId="107" applyFont="1" applyFill="1" applyAlignment="1">
      <alignment horizontal="center" vertical="center"/>
      <protection/>
    </xf>
    <xf numFmtId="4" fontId="8" fillId="53" borderId="30" xfId="96" applyNumberFormat="1" applyFont="1" applyFill="1" applyBorder="1" applyAlignment="1" applyProtection="1">
      <alignment horizontal="right" vertical="center" wrapText="1"/>
      <protection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 horizontal="right"/>
      <protection/>
    </xf>
    <xf numFmtId="3" fontId="23" fillId="0" borderId="22" xfId="82" applyNumberFormat="1" applyFont="1" applyBorder="1" applyAlignment="1" applyProtection="1">
      <alignment horizontal="right"/>
      <protection/>
    </xf>
    <xf numFmtId="3" fontId="4" fillId="0" borderId="22" xfId="82" applyNumberFormat="1" applyFont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22" xfId="82" applyNumberFormat="1" applyFont="1" applyBorder="1" applyAlignment="1" applyProtection="1">
      <alignment horizontal="right"/>
      <protection/>
    </xf>
    <xf numFmtId="3" fontId="6" fillId="0" borderId="22" xfId="82" applyNumberFormat="1" applyFont="1" applyBorder="1" applyAlignment="1" applyProtection="1">
      <alignment horizontal="right"/>
      <protection/>
    </xf>
    <xf numFmtId="3" fontId="6" fillId="0" borderId="26" xfId="0" applyNumberFormat="1" applyFont="1" applyBorder="1" applyAlignment="1">
      <alignment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7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6" fillId="0" borderId="21" xfId="0" applyNumberFormat="1" applyFont="1" applyFill="1" applyBorder="1" applyAlignment="1">
      <alignment/>
    </xf>
    <xf numFmtId="3" fontId="7" fillId="0" borderId="25" xfId="0" applyNumberFormat="1" applyFont="1" applyBorder="1" applyAlignment="1" applyProtection="1">
      <alignment horizontal="center"/>
      <protection/>
    </xf>
    <xf numFmtId="3" fontId="7" fillId="0" borderId="5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 vertical="top"/>
      <protection/>
    </xf>
    <xf numFmtId="3" fontId="6" fillId="0" borderId="0" xfId="0" applyNumberFormat="1" applyFont="1" applyFill="1" applyBorder="1" applyAlignment="1" applyProtection="1" quotePrefix="1">
      <alignment horizontal="left"/>
      <protection/>
    </xf>
    <xf numFmtId="3" fontId="7" fillId="0" borderId="21" xfId="0" applyNumberFormat="1" applyFont="1" applyFill="1" applyBorder="1" applyAlignment="1" applyProtection="1" quotePrefix="1">
      <alignment horizontal="lef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34" xfId="82" applyNumberFormat="1" applyFont="1" applyBorder="1" applyAlignment="1" applyProtection="1">
      <alignment horizontal="right"/>
      <protection/>
    </xf>
    <xf numFmtId="3" fontId="4" fillId="52" borderId="25" xfId="82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23" xfId="82" applyNumberFormat="1" applyFont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>
      <alignment horizontal="left"/>
    </xf>
    <xf numFmtId="3" fontId="7" fillId="0" borderId="49" xfId="0" applyNumberFormat="1" applyFont="1" applyBorder="1" applyAlignment="1" applyProtection="1">
      <alignment horizontal="center"/>
      <protection/>
    </xf>
    <xf numFmtId="3" fontId="4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top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Border="1" applyAlignment="1">
      <alignment/>
    </xf>
    <xf numFmtId="3" fontId="6" fillId="0" borderId="26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22" xfId="82" applyNumberFormat="1" applyFont="1" applyBorder="1" applyAlignment="1">
      <alignment horizontal="right"/>
    </xf>
    <xf numFmtId="3" fontId="4" fillId="0" borderId="24" xfId="0" applyNumberFormat="1" applyFont="1" applyBorder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46" xfId="0" applyNumberFormat="1" applyFont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0" xfId="82" applyNumberFormat="1" applyFont="1" applyFill="1" applyBorder="1" applyAlignment="1" applyProtection="1">
      <alignment horizontal="right"/>
      <protection/>
    </xf>
    <xf numFmtId="3" fontId="4" fillId="52" borderId="44" xfId="82" applyNumberFormat="1" applyFont="1" applyFill="1" applyBorder="1" applyAlignment="1" applyProtection="1">
      <alignment horizontal="right"/>
      <protection/>
    </xf>
    <xf numFmtId="3" fontId="4" fillId="52" borderId="38" xfId="82" applyNumberFormat="1" applyFont="1" applyFill="1" applyBorder="1" applyAlignment="1" applyProtection="1">
      <alignment horizontal="right"/>
      <protection/>
    </xf>
    <xf numFmtId="3" fontId="6" fillId="0" borderId="0" xfId="82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82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6" fillId="0" borderId="0" xfId="82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6" fillId="0" borderId="25" xfId="82" applyNumberFormat="1" applyFont="1" applyFill="1" applyBorder="1" applyAlignment="1" applyProtection="1" quotePrefix="1">
      <alignment horizontal="center" vertical="center" wrapText="1"/>
      <protection/>
    </xf>
    <xf numFmtId="3" fontId="4" fillId="0" borderId="26" xfId="0" applyNumberFormat="1" applyFont="1" applyBorder="1" applyAlignment="1" applyProtection="1">
      <alignment horizontal="center" vertical="top" wrapText="1"/>
      <protection/>
    </xf>
    <xf numFmtId="3" fontId="4" fillId="0" borderId="0" xfId="0" applyNumberFormat="1" applyFont="1" applyBorder="1" applyAlignment="1" applyProtection="1">
      <alignment horizontal="center" vertical="top" wrapText="1"/>
      <protection/>
    </xf>
    <xf numFmtId="3" fontId="4" fillId="0" borderId="0" xfId="122" applyNumberFormat="1" applyFont="1" applyFill="1" applyBorder="1" applyAlignment="1">
      <alignment horizontal="left" vertical="center"/>
      <protection/>
    </xf>
    <xf numFmtId="3" fontId="6" fillId="0" borderId="24" xfId="0" applyNumberFormat="1" applyFont="1" applyBorder="1" applyAlignment="1" applyProtection="1">
      <alignment horizontal="right" vertical="top" wrapText="1"/>
      <protection/>
    </xf>
    <xf numFmtId="3" fontId="6" fillId="0" borderId="21" xfId="0" applyNumberFormat="1" applyFont="1" applyBorder="1" applyAlignment="1" applyProtection="1">
      <alignment horizontal="right" vertical="top" wrapText="1"/>
      <protection/>
    </xf>
    <xf numFmtId="3" fontId="6" fillId="0" borderId="22" xfId="82" applyNumberFormat="1" applyFont="1" applyBorder="1" applyAlignment="1" applyProtection="1">
      <alignment horizontal="right" vertical="center" wrapText="1"/>
      <protection/>
    </xf>
    <xf numFmtId="3" fontId="6" fillId="0" borderId="22" xfId="0" applyNumberFormat="1" applyFont="1" applyBorder="1" applyAlignment="1" applyProtection="1">
      <alignment horizontal="right" vertical="center" wrapText="1"/>
      <protection/>
    </xf>
    <xf numFmtId="3" fontId="4" fillId="0" borderId="21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4" fillId="0" borderId="22" xfId="82" applyNumberFormat="1" applyFont="1" applyFill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>
      <alignment horizontal="lef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46" xfId="0" applyNumberFormat="1" applyFont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 quotePrefix="1">
      <alignment horizontal="left"/>
      <protection/>
    </xf>
    <xf numFmtId="3" fontId="4" fillId="0" borderId="0" xfId="0" applyNumberFormat="1" applyFont="1" applyBorder="1" applyAlignment="1" applyProtection="1" quotePrefix="1">
      <alignment horizontal="center"/>
      <protection/>
    </xf>
    <xf numFmtId="3" fontId="23" fillId="0" borderId="25" xfId="0" applyNumberFormat="1" applyFont="1" applyBorder="1" applyAlignment="1" applyProtection="1" quotePrefix="1">
      <alignment horizontal="center"/>
      <protection/>
    </xf>
    <xf numFmtId="3" fontId="23" fillId="0" borderId="36" xfId="0" applyNumberFormat="1" applyFont="1" applyBorder="1" applyAlignment="1" applyProtection="1">
      <alignment horizontal="center"/>
      <protection/>
    </xf>
    <xf numFmtId="3" fontId="4" fillId="0" borderId="21" xfId="82" applyNumberFormat="1" applyFont="1" applyBorder="1" applyAlignment="1" applyProtection="1">
      <alignment horizontal="right"/>
      <protection/>
    </xf>
    <xf numFmtId="3" fontId="4" fillId="0" borderId="21" xfId="0" applyNumberFormat="1" applyFont="1" applyFill="1" applyBorder="1" applyAlignment="1">
      <alignment horizontal="left"/>
    </xf>
    <xf numFmtId="3" fontId="6" fillId="0" borderId="21" xfId="82" applyNumberFormat="1" applyFont="1" applyBorder="1" applyAlignment="1" applyProtection="1">
      <alignment horizontal="right"/>
      <protection/>
    </xf>
    <xf numFmtId="3" fontId="23" fillId="0" borderId="21" xfId="0" applyNumberFormat="1" applyFont="1" applyFill="1" applyBorder="1" applyAlignment="1" applyProtection="1">
      <alignment horizontal="left"/>
      <protection/>
    </xf>
    <xf numFmtId="3" fontId="4" fillId="0" borderId="2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6" fillId="0" borderId="23" xfId="82" applyNumberFormat="1" applyFont="1" applyBorder="1" applyAlignment="1" applyProtection="1">
      <alignment horizontal="right" vertical="center" wrapText="1"/>
      <protection/>
    </xf>
    <xf numFmtId="3" fontId="6" fillId="0" borderId="23" xfId="0" applyNumberFormat="1" applyFont="1" applyBorder="1" applyAlignment="1" applyProtection="1">
      <alignment horizontal="right" vertical="center" wrapText="1"/>
      <protection/>
    </xf>
    <xf numFmtId="3" fontId="23" fillId="0" borderId="22" xfId="0" applyNumberFormat="1" applyFont="1" applyBorder="1" applyAlignment="1" applyProtection="1">
      <alignment horizontal="right"/>
      <protection/>
    </xf>
    <xf numFmtId="3" fontId="6" fillId="0" borderId="0" xfId="82" applyNumberFormat="1" applyFont="1" applyAlignment="1">
      <alignment/>
    </xf>
    <xf numFmtId="3" fontId="6" fillId="0" borderId="0" xfId="0" applyNumberFormat="1" applyFont="1" applyAlignment="1">
      <alignment/>
    </xf>
    <xf numFmtId="10" fontId="7" fillId="0" borderId="42" xfId="0" applyNumberFormat="1" applyFont="1" applyBorder="1" applyAlignment="1" applyProtection="1">
      <alignment horizontal="right"/>
      <protection/>
    </xf>
    <xf numFmtId="10" fontId="6" fillId="0" borderId="53" xfId="82" applyNumberFormat="1" applyFont="1" applyBorder="1" applyAlignment="1" applyProtection="1">
      <alignment horizontal="right"/>
      <protection/>
    </xf>
    <xf numFmtId="10" fontId="4" fillId="0" borderId="41" xfId="82" applyNumberFormat="1" applyFont="1" applyBorder="1" applyAlignment="1" applyProtection="1">
      <alignment horizontal="right"/>
      <protection/>
    </xf>
    <xf numFmtId="10" fontId="23" fillId="0" borderId="42" xfId="82" applyNumberFormat="1" applyFont="1" applyBorder="1" applyAlignment="1" applyProtection="1">
      <alignment horizontal="right"/>
      <protection/>
    </xf>
    <xf numFmtId="10" fontId="4" fillId="0" borderId="54" xfId="82" applyNumberFormat="1" applyFont="1" applyFill="1" applyBorder="1" applyAlignment="1" applyProtection="1">
      <alignment horizontal="right"/>
      <protection/>
    </xf>
    <xf numFmtId="10" fontId="4" fillId="52" borderId="55" xfId="82" applyNumberFormat="1" applyFont="1" applyFill="1" applyBorder="1" applyAlignment="1" applyProtection="1">
      <alignment horizontal="right"/>
      <protection/>
    </xf>
    <xf numFmtId="10" fontId="4" fillId="52" borderId="56" xfId="82" applyNumberFormat="1" applyFont="1" applyFill="1" applyBorder="1" applyAlignment="1" applyProtection="1">
      <alignment horizontal="right"/>
      <protection/>
    </xf>
    <xf numFmtId="10" fontId="6" fillId="0" borderId="0" xfId="0" applyNumberFormat="1" applyFont="1" applyBorder="1" applyAlignment="1">
      <alignment horizontal="right"/>
    </xf>
    <xf numFmtId="10" fontId="6" fillId="0" borderId="42" xfId="0" applyNumberFormat="1" applyFont="1" applyBorder="1" applyAlignment="1" applyProtection="1">
      <alignment horizontal="right" vertical="center" wrapText="1"/>
      <protection/>
    </xf>
    <xf numFmtId="10" fontId="4" fillId="0" borderId="42" xfId="0" applyNumberFormat="1" applyFont="1" applyBorder="1" applyAlignment="1" applyProtection="1">
      <alignment horizontal="right"/>
      <protection/>
    </xf>
    <xf numFmtId="10" fontId="4" fillId="0" borderId="54" xfId="82" applyNumberFormat="1" applyFont="1" applyBorder="1" applyAlignment="1" applyProtection="1">
      <alignment horizontal="right"/>
      <protection/>
    </xf>
    <xf numFmtId="10" fontId="6" fillId="0" borderId="54" xfId="82" applyNumberFormat="1" applyFont="1" applyBorder="1" applyAlignment="1" applyProtection="1">
      <alignment horizontal="right"/>
      <protection/>
    </xf>
    <xf numFmtId="3" fontId="23" fillId="0" borderId="26" xfId="0" applyNumberFormat="1" applyFont="1" applyBorder="1" applyAlignment="1" applyProtection="1">
      <alignment horizontal="center"/>
      <protection/>
    </xf>
    <xf numFmtId="3" fontId="23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/>
    </xf>
    <xf numFmtId="10" fontId="7" fillId="0" borderId="42" xfId="82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" fontId="49" fillId="0" borderId="57" xfId="96" applyNumberFormat="1" applyFont="1" applyFill="1" applyBorder="1" applyAlignment="1" applyProtection="1">
      <alignment horizontal="center" vertical="center"/>
      <protection/>
    </xf>
    <xf numFmtId="1" fontId="49" fillId="0" borderId="58" xfId="96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4" fontId="78" fillId="0" borderId="0" xfId="107" applyNumberFormat="1" applyFont="1" applyFill="1" applyBorder="1" applyAlignment="1">
      <alignment horizontal="center" vertical="center"/>
      <protection/>
    </xf>
    <xf numFmtId="4" fontId="79" fillId="51" borderId="51" xfId="96" applyNumberFormat="1" applyFont="1" applyFill="1" applyBorder="1" applyAlignment="1" applyProtection="1">
      <alignment horizontal="left" vertical="center" wrapText="1"/>
      <protection/>
    </xf>
    <xf numFmtId="4" fontId="78" fillId="53" borderId="30" xfId="96" applyNumberFormat="1" applyFont="1" applyFill="1" applyBorder="1" applyAlignment="1" applyProtection="1">
      <alignment horizontal="left" vertical="center" wrapText="1"/>
      <protection/>
    </xf>
    <xf numFmtId="4" fontId="78" fillId="53" borderId="30" xfId="96" applyNumberFormat="1" applyFont="1" applyFill="1" applyBorder="1" applyAlignment="1" applyProtection="1">
      <alignment horizontal="right" vertical="center" wrapText="1"/>
      <protection/>
    </xf>
    <xf numFmtId="4" fontId="78" fillId="51" borderId="51" xfId="96" applyNumberFormat="1" applyFont="1" applyFill="1" applyBorder="1" applyAlignment="1" applyProtection="1">
      <alignment horizontal="right" vertical="center" wrapText="1"/>
      <protection/>
    </xf>
    <xf numFmtId="4" fontId="78" fillId="0" borderId="0" xfId="107" applyNumberFormat="1" applyFont="1" applyFill="1" applyBorder="1" applyAlignment="1">
      <alignment vertical="center"/>
      <protection/>
    </xf>
    <xf numFmtId="4" fontId="78" fillId="0" borderId="0" xfId="107" applyNumberFormat="1" applyFont="1" applyFill="1" applyAlignment="1">
      <alignment vertical="center"/>
      <protection/>
    </xf>
    <xf numFmtId="4" fontId="78" fillId="0" borderId="0" xfId="107" applyNumberFormat="1" applyFont="1" applyFill="1" applyAlignment="1">
      <alignment horizontal="right" vertical="center"/>
      <protection/>
    </xf>
    <xf numFmtId="4" fontId="78" fillId="0" borderId="0" xfId="107" applyNumberFormat="1" applyFont="1" applyFill="1" applyBorder="1" applyAlignment="1">
      <alignment horizontal="right" vertical="center"/>
      <protection/>
    </xf>
    <xf numFmtId="4" fontId="8" fillId="0" borderId="30" xfId="96" applyNumberFormat="1" applyFont="1" applyFill="1" applyBorder="1" applyAlignment="1" applyProtection="1">
      <alignment horizontal="right" vertical="center" wrapText="1"/>
      <protection/>
    </xf>
    <xf numFmtId="4" fontId="8" fillId="0" borderId="30" xfId="96" applyNumberFormat="1" applyFont="1" applyFill="1" applyBorder="1" applyAlignment="1" applyProtection="1">
      <alignment horizontal="right" vertical="center"/>
      <protection/>
    </xf>
    <xf numFmtId="4" fontId="8" fillId="0" borderId="30" xfId="106" applyNumberFormat="1" applyFont="1" applyFill="1" applyBorder="1" applyAlignment="1">
      <alignment horizontal="right" vertical="center"/>
      <protection/>
    </xf>
    <xf numFmtId="4" fontId="8" fillId="51" borderId="51" xfId="96" applyNumberFormat="1" applyFont="1" applyFill="1" applyBorder="1" applyAlignment="1" applyProtection="1">
      <alignment horizontal="right" vertical="center" wrapText="1"/>
      <protection/>
    </xf>
    <xf numFmtId="4" fontId="8" fillId="0" borderId="51" xfId="96" applyNumberFormat="1" applyFont="1" applyFill="1" applyBorder="1" applyAlignment="1" applyProtection="1">
      <alignment horizontal="right" vertical="center" wrapText="1"/>
      <protection/>
    </xf>
    <xf numFmtId="4" fontId="8" fillId="0" borderId="0" xfId="107" applyNumberFormat="1" applyFont="1" applyFill="1" applyBorder="1" applyAlignment="1">
      <alignment vertical="center"/>
      <protection/>
    </xf>
    <xf numFmtId="4" fontId="8" fillId="0" borderId="0" xfId="107" applyNumberFormat="1" applyFont="1" applyFill="1" applyBorder="1" applyAlignment="1">
      <alignment horizontal="right" vertical="center"/>
      <protection/>
    </xf>
    <xf numFmtId="0" fontId="31" fillId="0" borderId="0" xfId="107" applyFont="1" applyFill="1" applyAlignment="1" quotePrefix="1">
      <alignment vertical="center"/>
      <protection/>
    </xf>
    <xf numFmtId="3" fontId="6" fillId="0" borderId="22" xfId="82" applyNumberFormat="1" applyFont="1" applyFill="1" applyBorder="1" applyAlignment="1" applyProtection="1">
      <alignment horizontal="right"/>
      <protection/>
    </xf>
    <xf numFmtId="4" fontId="80" fillId="0" borderId="30" xfId="96" applyNumberFormat="1" applyFont="1" applyFill="1" applyBorder="1" applyAlignment="1" applyProtection="1">
      <alignment horizontal="right" vertical="center"/>
      <protection/>
    </xf>
    <xf numFmtId="4" fontId="8" fillId="0" borderId="31" xfId="96" applyNumberFormat="1" applyFont="1" applyFill="1" applyBorder="1" applyAlignment="1" applyProtection="1">
      <alignment horizontal="right" vertical="center" wrapText="1"/>
      <protection/>
    </xf>
    <xf numFmtId="168" fontId="0" fillId="0" borderId="0" xfId="0" applyNumberFormat="1" applyAlignment="1">
      <alignment/>
    </xf>
    <xf numFmtId="4" fontId="8" fillId="0" borderId="0" xfId="96" applyNumberFormat="1" applyFont="1" applyFill="1" applyBorder="1" applyAlignment="1" applyProtection="1">
      <alignment horizontal="right" vertical="center" wrapText="1"/>
      <protection/>
    </xf>
    <xf numFmtId="10" fontId="8" fillId="0" borderId="30" xfId="96" applyNumberFormat="1" applyFont="1" applyFill="1" applyBorder="1" applyAlignment="1" applyProtection="1">
      <alignment horizontal="right" vertical="center" wrapText="1"/>
      <protection/>
    </xf>
    <xf numFmtId="4" fontId="78" fillId="0" borderId="0" xfId="96" applyNumberFormat="1" applyFont="1" applyFill="1" applyBorder="1" applyAlignment="1" applyProtection="1">
      <alignment horizontal="right" vertical="center" wrapText="1"/>
      <protection/>
    </xf>
    <xf numFmtId="4" fontId="8" fillId="0" borderId="0" xfId="107" applyNumberFormat="1" applyFont="1" applyFill="1" applyAlignment="1">
      <alignment horizontal="right" vertical="center"/>
      <protection/>
    </xf>
    <xf numFmtId="0" fontId="27" fillId="0" borderId="0" xfId="96" applyFont="1" applyFill="1" applyBorder="1" applyAlignment="1" applyProtection="1">
      <alignment horizontal="center" vertical="center" wrapText="1"/>
      <protection/>
    </xf>
    <xf numFmtId="0" fontId="27" fillId="51" borderId="0" xfId="96" applyFont="1" applyFill="1" applyBorder="1" applyAlignment="1" applyProtection="1">
      <alignment horizontal="center" vertical="center" wrapText="1"/>
      <protection/>
    </xf>
    <xf numFmtId="0" fontId="21" fillId="0" borderId="0" xfId="96" applyFont="1" applyFill="1" applyBorder="1" applyAlignment="1" applyProtection="1">
      <alignment horizontal="center" vertical="center" wrapText="1"/>
      <protection/>
    </xf>
    <xf numFmtId="0" fontId="25" fillId="0" borderId="0" xfId="107" applyFont="1" applyFill="1" applyBorder="1" applyAlignment="1">
      <alignment horizontal="center" vertical="center"/>
      <protection/>
    </xf>
    <xf numFmtId="10" fontId="8" fillId="0" borderId="0" xfId="96" applyNumberFormat="1" applyFont="1" applyFill="1" applyBorder="1" applyAlignment="1" applyProtection="1">
      <alignment horizontal="right" vertical="center" wrapText="1"/>
      <protection/>
    </xf>
    <xf numFmtId="0" fontId="25" fillId="0" borderId="0" xfId="107" applyFont="1" applyFill="1" applyBorder="1" applyAlignment="1">
      <alignment vertical="center"/>
      <protection/>
    </xf>
    <xf numFmtId="4" fontId="8" fillId="0" borderId="59" xfId="106" applyNumberFormat="1" applyFont="1" applyFill="1" applyBorder="1" applyAlignment="1">
      <alignment horizontal="right" vertical="center"/>
      <protection/>
    </xf>
    <xf numFmtId="3" fontId="6" fillId="0" borderId="34" xfId="0" applyNumberFormat="1" applyFont="1" applyBorder="1" applyAlignment="1" applyProtection="1">
      <alignment/>
      <protection/>
    </xf>
    <xf numFmtId="3" fontId="6" fillId="0" borderId="34" xfId="0" applyNumberFormat="1" applyFont="1" applyBorder="1" applyAlignment="1" applyProtection="1">
      <alignment horizontal="right"/>
      <protection/>
    </xf>
    <xf numFmtId="3" fontId="81" fillId="0" borderId="22" xfId="82" applyNumberFormat="1" applyFont="1" applyBorder="1" applyAlignment="1" applyProtection="1">
      <alignment horizontal="right"/>
      <protection/>
    </xf>
    <xf numFmtId="3" fontId="81" fillId="52" borderId="25" xfId="82" applyNumberFormat="1" applyFont="1" applyFill="1" applyBorder="1" applyAlignment="1" applyProtection="1">
      <alignment horizontal="right"/>
      <protection/>
    </xf>
    <xf numFmtId="0" fontId="81" fillId="0" borderId="0" xfId="0" applyFont="1" applyBorder="1" applyAlignment="1">
      <alignment horizontal="center"/>
    </xf>
    <xf numFmtId="168" fontId="82" fillId="0" borderId="25" xfId="82" applyNumberFormat="1" applyFont="1" applyFill="1" applyBorder="1" applyAlignment="1" applyProtection="1" quotePrefix="1">
      <alignment horizontal="center" vertical="center" wrapText="1"/>
      <protection/>
    </xf>
    <xf numFmtId="168" fontId="82" fillId="0" borderId="23" xfId="0" applyNumberFormat="1" applyFont="1" applyBorder="1" applyAlignment="1" applyProtection="1">
      <alignment horizontal="right" vertical="center" wrapText="1"/>
      <protection/>
    </xf>
    <xf numFmtId="168" fontId="83" fillId="0" borderId="22" xfId="0" applyNumberFormat="1" applyFont="1" applyBorder="1" applyAlignment="1" applyProtection="1">
      <alignment horizontal="right"/>
      <protection/>
    </xf>
    <xf numFmtId="3" fontId="82" fillId="0" borderId="22" xfId="82" applyNumberFormat="1" applyFont="1" applyBorder="1" applyAlignment="1" applyProtection="1">
      <alignment horizontal="right"/>
      <protection/>
    </xf>
    <xf numFmtId="3" fontId="84" fillId="0" borderId="22" xfId="82" applyNumberFormat="1" applyFont="1" applyBorder="1" applyAlignment="1" applyProtection="1">
      <alignment horizontal="right"/>
      <protection/>
    </xf>
    <xf numFmtId="3" fontId="82" fillId="0" borderId="34" xfId="82" applyNumberFormat="1" applyFont="1" applyBorder="1" applyAlignment="1" applyProtection="1">
      <alignment horizontal="right"/>
      <protection/>
    </xf>
    <xf numFmtId="3" fontId="81" fillId="0" borderId="23" xfId="82" applyNumberFormat="1" applyFont="1" applyBorder="1" applyAlignment="1" applyProtection="1">
      <alignment horizontal="right"/>
      <protection/>
    </xf>
    <xf numFmtId="3" fontId="83" fillId="0" borderId="22" xfId="82" applyNumberFormat="1" applyFont="1" applyBorder="1" applyAlignment="1" applyProtection="1">
      <alignment horizontal="right"/>
      <protection/>
    </xf>
    <xf numFmtId="3" fontId="81" fillId="0" borderId="22" xfId="82" applyNumberFormat="1" applyFont="1" applyBorder="1" applyAlignment="1">
      <alignment horizontal="right"/>
    </xf>
    <xf numFmtId="3" fontId="81" fillId="0" borderId="0" xfId="82" applyNumberFormat="1" applyFont="1" applyFill="1" applyBorder="1" applyAlignment="1" applyProtection="1">
      <alignment horizontal="right"/>
      <protection/>
    </xf>
    <xf numFmtId="3" fontId="81" fillId="52" borderId="44" xfId="82" applyNumberFormat="1" applyFont="1" applyFill="1" applyBorder="1" applyAlignment="1" applyProtection="1">
      <alignment horizontal="right"/>
      <protection/>
    </xf>
    <xf numFmtId="3" fontId="81" fillId="52" borderId="38" xfId="82" applyNumberFormat="1" applyFont="1" applyFill="1" applyBorder="1" applyAlignment="1" applyProtection="1">
      <alignment horizontal="right"/>
      <protection/>
    </xf>
    <xf numFmtId="3" fontId="82" fillId="0" borderId="0" xfId="82" applyNumberFormat="1" applyFont="1" applyFill="1" applyBorder="1" applyAlignment="1" applyProtection="1">
      <alignment horizontal="right"/>
      <protection/>
    </xf>
    <xf numFmtId="3" fontId="82" fillId="0" borderId="0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center"/>
    </xf>
    <xf numFmtId="3" fontId="82" fillId="0" borderId="25" xfId="82" applyNumberFormat="1" applyFont="1" applyFill="1" applyBorder="1" applyAlignment="1" applyProtection="1" quotePrefix="1">
      <alignment horizontal="center" vertical="center" wrapText="1"/>
      <protection/>
    </xf>
    <xf numFmtId="3" fontId="82" fillId="0" borderId="22" xfId="0" applyNumberFormat="1" applyFont="1" applyBorder="1" applyAlignment="1" applyProtection="1">
      <alignment horizontal="right" vertical="center" wrapText="1"/>
      <protection/>
    </xf>
    <xf numFmtId="3" fontId="81" fillId="0" borderId="22" xfId="0" applyNumberFormat="1" applyFont="1" applyBorder="1" applyAlignment="1" applyProtection="1">
      <alignment horizontal="right"/>
      <protection/>
    </xf>
    <xf numFmtId="3" fontId="81" fillId="0" borderId="21" xfId="82" applyNumberFormat="1" applyFont="1" applyBorder="1" applyAlignment="1" applyProtection="1">
      <alignment horizontal="right"/>
      <protection/>
    </xf>
    <xf numFmtId="3" fontId="82" fillId="0" borderId="21" xfId="82" applyNumberFormat="1" applyFont="1" applyBorder="1" applyAlignment="1" applyProtection="1">
      <alignment horizontal="right"/>
      <protection/>
    </xf>
    <xf numFmtId="0" fontId="82" fillId="0" borderId="0" xfId="0" applyFont="1" applyAlignment="1">
      <alignment/>
    </xf>
    <xf numFmtId="10" fontId="50" fillId="0" borderId="54" xfId="82" applyNumberFormat="1" applyFont="1" applyBorder="1" applyAlignment="1" applyProtection="1">
      <alignment horizontal="right"/>
      <protection/>
    </xf>
    <xf numFmtId="3" fontId="6" fillId="0" borderId="21" xfId="0" applyNumberFormat="1" applyFont="1" applyFill="1" applyBorder="1" applyAlignment="1" applyProtection="1">
      <alignment horizontal="right"/>
      <protection/>
    </xf>
    <xf numFmtId="3" fontId="6" fillId="0" borderId="60" xfId="0" applyNumberFormat="1" applyFont="1" applyBorder="1" applyAlignment="1" applyProtection="1">
      <alignment horizontal="right"/>
      <protection/>
    </xf>
    <xf numFmtId="3" fontId="85" fillId="0" borderId="0" xfId="107" applyNumberFormat="1" applyFont="1" applyFill="1" applyBorder="1" applyAlignment="1">
      <alignment horizontal="center" vertical="center"/>
      <protection/>
    </xf>
    <xf numFmtId="3" fontId="79" fillId="51" borderId="51" xfId="96" applyNumberFormat="1" applyFont="1" applyFill="1" applyBorder="1" applyAlignment="1" applyProtection="1">
      <alignment horizontal="left" vertical="center" wrapText="1"/>
      <protection/>
    </xf>
    <xf numFmtId="3" fontId="78" fillId="53" borderId="30" xfId="96" applyNumberFormat="1" applyFont="1" applyFill="1" applyBorder="1" applyAlignment="1" applyProtection="1">
      <alignment horizontal="left" vertical="center" wrapText="1"/>
      <protection/>
    </xf>
    <xf numFmtId="3" fontId="8" fillId="0" borderId="30" xfId="96" applyNumberFormat="1" applyFont="1" applyFill="1" applyBorder="1" applyAlignment="1" applyProtection="1">
      <alignment horizontal="right" vertical="center"/>
      <protection/>
    </xf>
    <xf numFmtId="3" fontId="78" fillId="53" borderId="30" xfId="96" applyNumberFormat="1" applyFont="1" applyFill="1" applyBorder="1" applyAlignment="1" applyProtection="1">
      <alignment horizontal="right" vertical="center" wrapText="1"/>
      <protection/>
    </xf>
    <xf numFmtId="3" fontId="8" fillId="0" borderId="30" xfId="96" applyNumberFormat="1" applyFont="1" applyFill="1" applyBorder="1" applyAlignment="1" applyProtection="1">
      <alignment horizontal="right" vertical="center" wrapText="1"/>
      <protection/>
    </xf>
    <xf numFmtId="3" fontId="78" fillId="51" borderId="51" xfId="96" applyNumberFormat="1" applyFont="1" applyFill="1" applyBorder="1" applyAlignment="1" applyProtection="1">
      <alignment horizontal="right" vertical="center" wrapText="1"/>
      <protection/>
    </xf>
    <xf numFmtId="3" fontId="8" fillId="53" borderId="30" xfId="96" applyNumberFormat="1" applyFont="1" applyFill="1" applyBorder="1" applyAlignment="1" applyProtection="1">
      <alignment horizontal="right" vertical="center" wrapText="1"/>
      <protection/>
    </xf>
    <xf numFmtId="3" fontId="8" fillId="0" borderId="51" xfId="96" applyNumberFormat="1" applyFont="1" applyFill="1" applyBorder="1" applyAlignment="1" applyProtection="1">
      <alignment horizontal="right" vertical="center" wrapText="1"/>
      <protection/>
    </xf>
    <xf numFmtId="3" fontId="8" fillId="0" borderId="30" xfId="106" applyNumberFormat="1" applyFont="1" applyFill="1" applyBorder="1" applyAlignment="1">
      <alignment horizontal="right" vertical="center"/>
      <protection/>
    </xf>
    <xf numFmtId="3" fontId="8" fillId="0" borderId="59" xfId="106" applyNumberFormat="1" applyFont="1" applyFill="1" applyBorder="1" applyAlignment="1">
      <alignment horizontal="right" vertical="center"/>
      <protection/>
    </xf>
    <xf numFmtId="3" fontId="8" fillId="0" borderId="31" xfId="96" applyNumberFormat="1" applyFont="1" applyFill="1" applyBorder="1" applyAlignment="1" applyProtection="1">
      <alignment horizontal="right" vertical="center" wrapText="1"/>
      <protection/>
    </xf>
    <xf numFmtId="3" fontId="8" fillId="0" borderId="0" xfId="107" applyNumberFormat="1" applyFont="1" applyFill="1" applyBorder="1" applyAlignment="1">
      <alignment vertical="center"/>
      <protection/>
    </xf>
    <xf numFmtId="3" fontId="78" fillId="0" borderId="0" xfId="107" applyNumberFormat="1" applyFont="1" applyFill="1" applyBorder="1" applyAlignment="1">
      <alignment vertical="center"/>
      <protection/>
    </xf>
    <xf numFmtId="3" fontId="78" fillId="0" borderId="0" xfId="107" applyNumberFormat="1" applyFont="1" applyFill="1" applyAlignment="1">
      <alignment vertical="center"/>
      <protection/>
    </xf>
    <xf numFmtId="3" fontId="8" fillId="51" borderId="51" xfId="96" applyNumberFormat="1" applyFont="1" applyFill="1" applyBorder="1" applyAlignment="1" applyProtection="1">
      <alignment horizontal="right" vertical="center" wrapText="1"/>
      <protection/>
    </xf>
    <xf numFmtId="3" fontId="78" fillId="0" borderId="0" xfId="107" applyNumberFormat="1" applyFont="1" applyFill="1" applyBorder="1" applyAlignment="1">
      <alignment horizontal="center" vertical="center"/>
      <protection/>
    </xf>
    <xf numFmtId="3" fontId="80" fillId="0" borderId="0" xfId="107" applyNumberFormat="1" applyFont="1" applyFill="1" applyBorder="1" applyAlignment="1">
      <alignment vertical="center"/>
      <protection/>
    </xf>
    <xf numFmtId="168" fontId="85" fillId="0" borderId="0" xfId="82" applyNumberFormat="1" applyFont="1" applyFill="1" applyAlignment="1">
      <alignment/>
    </xf>
    <xf numFmtId="3" fontId="4" fillId="52" borderId="35" xfId="0" applyNumberFormat="1" applyFont="1" applyFill="1" applyBorder="1" applyAlignment="1" applyProtection="1">
      <alignment horizontal="left"/>
      <protection/>
    </xf>
    <xf numFmtId="3" fontId="4" fillId="52" borderId="25" xfId="0" applyNumberFormat="1" applyFont="1" applyFill="1" applyBorder="1" applyAlignment="1" applyProtection="1">
      <alignment horizontal="left"/>
      <protection/>
    </xf>
    <xf numFmtId="3" fontId="4" fillId="52" borderId="34" xfId="0" applyNumberFormat="1" applyFont="1" applyFill="1" applyBorder="1" applyAlignment="1" applyProtection="1">
      <alignment horizontal="left"/>
      <protection/>
    </xf>
    <xf numFmtId="0" fontId="13" fillId="0" borderId="61" xfId="0" applyFont="1" applyBorder="1" applyAlignment="1">
      <alignment horizontal="center" wrapText="1"/>
    </xf>
    <xf numFmtId="0" fontId="13" fillId="0" borderId="44" xfId="0" applyFont="1" applyBorder="1" applyAlignment="1">
      <alignment horizontal="center"/>
    </xf>
    <xf numFmtId="3" fontId="23" fillId="0" borderId="0" xfId="0" applyNumberFormat="1" applyFont="1" applyFill="1" applyBorder="1" applyAlignment="1" applyProtection="1" quotePrefix="1">
      <alignment horizontal="left" vertical="top" wrapText="1"/>
      <protection/>
    </xf>
    <xf numFmtId="3" fontId="23" fillId="0" borderId="21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" fontId="13" fillId="0" borderId="62" xfId="122" applyNumberFormat="1" applyFont="1" applyFill="1" applyBorder="1" applyAlignment="1">
      <alignment horizontal="center" vertical="center" wrapText="1"/>
      <protection/>
    </xf>
    <xf numFmtId="3" fontId="13" fillId="0" borderId="63" xfId="122" applyNumberFormat="1" applyFont="1" applyFill="1" applyBorder="1" applyAlignment="1">
      <alignment horizontal="center" vertical="center" wrapText="1"/>
      <protection/>
    </xf>
    <xf numFmtId="3" fontId="13" fillId="0" borderId="64" xfId="122" applyNumberFormat="1" applyFont="1" applyFill="1" applyBorder="1" applyAlignment="1">
      <alignment horizontal="center" vertical="center" wrapText="1"/>
      <protection/>
    </xf>
    <xf numFmtId="3" fontId="13" fillId="0" borderId="46" xfId="122" applyNumberFormat="1" applyFont="1" applyFill="1" applyBorder="1" applyAlignment="1">
      <alignment horizontal="center" vertical="center" wrapText="1"/>
      <protection/>
    </xf>
    <xf numFmtId="3" fontId="13" fillId="0" borderId="0" xfId="122" applyNumberFormat="1" applyFont="1" applyFill="1" applyBorder="1" applyAlignment="1">
      <alignment horizontal="center" vertical="center" wrapText="1"/>
      <protection/>
    </xf>
    <xf numFmtId="3" fontId="6" fillId="0" borderId="65" xfId="82" applyNumberFormat="1" applyFont="1" applyFill="1" applyBorder="1" applyAlignment="1" applyProtection="1" quotePrefix="1">
      <alignment horizontal="center" vertical="center" wrapText="1"/>
      <protection/>
    </xf>
    <xf numFmtId="3" fontId="6" fillId="0" borderId="25" xfId="82" applyNumberFormat="1" applyFont="1" applyFill="1" applyBorder="1" applyAlignment="1" applyProtection="1" quotePrefix="1">
      <alignment horizontal="center" vertical="center" wrapText="1"/>
      <protection/>
    </xf>
    <xf numFmtId="168" fontId="6" fillId="0" borderId="65" xfId="82" applyNumberFormat="1" applyFont="1" applyFill="1" applyBorder="1" applyAlignment="1" applyProtection="1" quotePrefix="1">
      <alignment horizontal="center" vertical="center" wrapText="1"/>
      <protection/>
    </xf>
    <xf numFmtId="168" fontId="6" fillId="0" borderId="66" xfId="82" applyNumberFormat="1" applyFont="1" applyFill="1" applyBorder="1" applyAlignment="1" applyProtection="1" quotePrefix="1">
      <alignment horizontal="center" vertical="center" wrapText="1"/>
      <protection/>
    </xf>
    <xf numFmtId="3" fontId="4" fillId="0" borderId="44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6" fillId="0" borderId="66" xfId="82" applyNumberFormat="1" applyFont="1" applyFill="1" applyBorder="1" applyAlignment="1" applyProtection="1" quotePrefix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3" fontId="7" fillId="0" borderId="21" xfId="0" applyNumberFormat="1" applyFont="1" applyFill="1" applyBorder="1" applyAlignment="1" applyProtection="1">
      <alignment horizontal="left" wrapText="1"/>
      <protection/>
    </xf>
    <xf numFmtId="3" fontId="13" fillId="0" borderId="61" xfId="0" applyNumberFormat="1" applyFont="1" applyBorder="1" applyAlignment="1">
      <alignment horizontal="center" wrapText="1"/>
    </xf>
    <xf numFmtId="3" fontId="13" fillId="0" borderId="44" xfId="0" applyNumberFormat="1" applyFont="1" applyBorder="1" applyAlignment="1">
      <alignment horizontal="center"/>
    </xf>
    <xf numFmtId="3" fontId="4" fillId="52" borderId="58" xfId="0" applyNumberFormat="1" applyFont="1" applyFill="1" applyBorder="1" applyAlignment="1" applyProtection="1">
      <alignment/>
      <protection/>
    </xf>
    <xf numFmtId="3" fontId="4" fillId="52" borderId="67" xfId="0" applyNumberFormat="1" applyFont="1" applyFill="1" applyBorder="1" applyAlignment="1" applyProtection="1">
      <alignment/>
      <protection/>
    </xf>
    <xf numFmtId="3" fontId="4" fillId="52" borderId="68" xfId="0" applyNumberFormat="1" applyFont="1" applyFill="1" applyBorder="1" applyAlignment="1" applyProtection="1">
      <alignment/>
      <protection/>
    </xf>
    <xf numFmtId="3" fontId="4" fillId="52" borderId="69" xfId="0" applyNumberFormat="1" applyFont="1" applyFill="1" applyBorder="1" applyAlignment="1" applyProtection="1">
      <alignment horizontal="left"/>
      <protection/>
    </xf>
    <xf numFmtId="3" fontId="4" fillId="52" borderId="39" xfId="0" applyNumberFormat="1" applyFont="1" applyFill="1" applyBorder="1" applyAlignment="1" applyProtection="1">
      <alignment horizontal="left"/>
      <protection/>
    </xf>
    <xf numFmtId="3" fontId="4" fillId="52" borderId="28" xfId="0" applyNumberFormat="1" applyFont="1" applyFill="1" applyBorder="1" applyAlignment="1" applyProtection="1">
      <alignment horizontal="left"/>
      <protection/>
    </xf>
    <xf numFmtId="3" fontId="4" fillId="52" borderId="70" xfId="0" applyNumberFormat="1" applyFont="1" applyFill="1" applyBorder="1" applyAlignment="1" applyProtection="1">
      <alignment horizontal="left"/>
      <protection/>
    </xf>
    <xf numFmtId="3" fontId="4" fillId="52" borderId="23" xfId="0" applyNumberFormat="1" applyFont="1" applyFill="1" applyBorder="1" applyAlignment="1" applyProtection="1">
      <alignment horizontal="left"/>
      <protection/>
    </xf>
    <xf numFmtId="3" fontId="4" fillId="52" borderId="35" xfId="0" applyNumberFormat="1" applyFont="1" applyFill="1" applyBorder="1" applyAlignment="1" applyProtection="1">
      <alignment/>
      <protection/>
    </xf>
    <xf numFmtId="3" fontId="4" fillId="52" borderId="25" xfId="0" applyNumberFormat="1" applyFont="1" applyFill="1" applyBorder="1" applyAlignment="1" applyProtection="1">
      <alignment/>
      <protection/>
    </xf>
    <xf numFmtId="3" fontId="4" fillId="52" borderId="22" xfId="0" applyNumberFormat="1" applyFont="1" applyFill="1" applyBorder="1" applyAlignment="1" applyProtection="1">
      <alignment/>
      <protection/>
    </xf>
    <xf numFmtId="3" fontId="4" fillId="52" borderId="34" xfId="0" applyNumberFormat="1" applyFont="1" applyFill="1" applyBorder="1" applyAlignment="1" applyProtection="1">
      <alignment/>
      <protection/>
    </xf>
    <xf numFmtId="3" fontId="4" fillId="52" borderId="71" xfId="0" applyNumberFormat="1" applyFont="1" applyFill="1" applyBorder="1" applyAlignment="1" applyProtection="1">
      <alignment/>
      <protection/>
    </xf>
    <xf numFmtId="3" fontId="4" fillId="52" borderId="32" xfId="0" applyNumberFormat="1" applyFont="1" applyFill="1" applyBorder="1" applyAlignment="1" applyProtection="1">
      <alignment/>
      <protection/>
    </xf>
    <xf numFmtId="3" fontId="4" fillId="52" borderId="24" xfId="0" applyNumberFormat="1" applyFont="1" applyFill="1" applyBorder="1" applyAlignment="1" applyProtection="1">
      <alignment/>
      <protection/>
    </xf>
    <xf numFmtId="3" fontId="4" fillId="52" borderId="36" xfId="0" applyNumberFormat="1" applyFont="1" applyFill="1" applyBorder="1" applyAlignment="1" applyProtection="1">
      <alignment/>
      <protection/>
    </xf>
    <xf numFmtId="3" fontId="4" fillId="52" borderId="23" xfId="0" applyNumberFormat="1" applyFont="1" applyFill="1" applyBorder="1" applyAlignment="1" applyProtection="1">
      <alignment/>
      <protection/>
    </xf>
    <xf numFmtId="3" fontId="4" fillId="52" borderId="0" xfId="0" applyNumberFormat="1" applyFont="1" applyFill="1" applyBorder="1" applyAlignment="1" applyProtection="1">
      <alignment/>
      <protection/>
    </xf>
    <xf numFmtId="0" fontId="22" fillId="52" borderId="61" xfId="0" applyFont="1" applyFill="1" applyBorder="1" applyAlignment="1" applyProtection="1" quotePrefix="1">
      <alignment horizontal="left"/>
      <protection/>
    </xf>
    <xf numFmtId="0" fontId="22" fillId="52" borderId="44" xfId="0" applyFont="1" applyFill="1" applyBorder="1" applyAlignment="1" applyProtection="1" quotePrefix="1">
      <alignment horizontal="left"/>
      <protection/>
    </xf>
    <xf numFmtId="0" fontId="4" fillId="52" borderId="35" xfId="0" applyFont="1" applyFill="1" applyBorder="1" applyAlignment="1" applyProtection="1" quotePrefix="1">
      <alignment horizontal="left"/>
      <protection/>
    </xf>
    <xf numFmtId="0" fontId="4" fillId="52" borderId="25" xfId="0" applyFont="1" applyFill="1" applyBorder="1" applyAlignment="1" applyProtection="1" quotePrefix="1">
      <alignment horizontal="left"/>
      <protection/>
    </xf>
    <xf numFmtId="0" fontId="14" fillId="0" borderId="50" xfId="0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168" fontId="6" fillId="0" borderId="25" xfId="82" applyNumberFormat="1" applyFont="1" applyFill="1" applyBorder="1" applyAlignment="1" applyProtection="1" quotePrefix="1">
      <alignment horizontal="center" vertical="center" wrapText="1"/>
      <protection/>
    </xf>
    <xf numFmtId="0" fontId="17" fillId="0" borderId="72" xfId="0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1" fontId="28" fillId="0" borderId="58" xfId="107" applyNumberFormat="1" applyFont="1" applyFill="1" applyBorder="1" applyAlignment="1">
      <alignment horizontal="center" vertical="center"/>
      <protection/>
    </xf>
    <xf numFmtId="1" fontId="28" fillId="0" borderId="67" xfId="107" applyNumberFormat="1" applyFont="1" applyFill="1" applyBorder="1" applyAlignment="1">
      <alignment horizontal="center" vertical="center"/>
      <protection/>
    </xf>
    <xf numFmtId="1" fontId="28" fillId="0" borderId="55" xfId="107" applyNumberFormat="1" applyFont="1" applyFill="1" applyBorder="1" applyAlignment="1">
      <alignment horizontal="center" vertical="center"/>
      <protection/>
    </xf>
    <xf numFmtId="0" fontId="27" fillId="0" borderId="73" xfId="96" applyFont="1" applyFill="1" applyBorder="1" applyAlignment="1" applyProtection="1">
      <alignment horizontal="center" vertical="center" wrapText="1"/>
      <protection/>
    </xf>
    <xf numFmtId="0" fontId="27" fillId="0" borderId="74" xfId="96" applyFont="1" applyFill="1" applyBorder="1" applyAlignment="1" applyProtection="1">
      <alignment horizontal="center" vertical="center" wrapText="1"/>
      <protection/>
    </xf>
    <xf numFmtId="3" fontId="27" fillId="0" borderId="73" xfId="96" applyNumberFormat="1" applyFont="1" applyFill="1" applyBorder="1" applyAlignment="1" applyProtection="1">
      <alignment horizontal="center" vertical="center" wrapText="1"/>
      <protection/>
    </xf>
    <xf numFmtId="3" fontId="27" fillId="0" borderId="74" xfId="96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</cellXfs>
  <cellStyles count="12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Comma [0]_all7_pdc" xfId="71"/>
    <cellStyle name="Comma 2" xfId="72"/>
    <cellStyle name="Comma 2 2" xfId="73"/>
    <cellStyle name="Comma_all7_pdc" xfId="74"/>
    <cellStyle name="Currency [0]_all7_pdc" xfId="75"/>
    <cellStyle name="Currency_all7_pdc" xfId="76"/>
    <cellStyle name="Euro" xfId="77"/>
    <cellStyle name="Input" xfId="78"/>
    <cellStyle name="Input 2" xfId="79"/>
    <cellStyle name="Comma" xfId="80"/>
    <cellStyle name="Migliaia (0)_% Attrezzature ed Edilizia" xfId="81"/>
    <cellStyle name="Comma [0]" xfId="82"/>
    <cellStyle name="Migliaia [0] 2" xfId="83"/>
    <cellStyle name="Migliaia [0] 2 2" xfId="84"/>
    <cellStyle name="Migliaia [0] 3" xfId="85"/>
    <cellStyle name="Migliaia [0] 4" xfId="86"/>
    <cellStyle name="Migliaia [0] 5" xfId="87"/>
    <cellStyle name="Migliaia 2" xfId="88"/>
    <cellStyle name="Migliaia 3" xfId="89"/>
    <cellStyle name="Migliaia 4" xfId="90"/>
    <cellStyle name="Migliaia 5" xfId="91"/>
    <cellStyle name="Neutrale" xfId="92"/>
    <cellStyle name="Neutrale 2" xfId="93"/>
    <cellStyle name="Normal 2" xfId="94"/>
    <cellStyle name="Normal_all7_pdc" xfId="95"/>
    <cellStyle name="Normal_Sheet1 2" xfId="96"/>
    <cellStyle name="Normale 2" xfId="97"/>
    <cellStyle name="Normale 2 2" xfId="98"/>
    <cellStyle name="Normale 3" xfId="99"/>
    <cellStyle name="Normale 3 2" xfId="100"/>
    <cellStyle name="Normale 3 3" xfId="101"/>
    <cellStyle name="Normale 4" xfId="102"/>
    <cellStyle name="Normale 5" xfId="103"/>
    <cellStyle name="Normale 6" xfId="104"/>
    <cellStyle name="Normale 6 2" xfId="105"/>
    <cellStyle name="Normale_All7_piano dei conti" xfId="106"/>
    <cellStyle name="Normale_Mattone CE_Budget 2008 (v. 0.5 del 12.02.2008) 2" xfId="107"/>
    <cellStyle name="Nota" xfId="108"/>
    <cellStyle name="Nota 2" xfId="109"/>
    <cellStyle name="Output" xfId="110"/>
    <cellStyle name="Output 2" xfId="111"/>
    <cellStyle name="Percent 2" xfId="112"/>
    <cellStyle name="Percent 3" xfId="113"/>
    <cellStyle name="Percent" xfId="114"/>
    <cellStyle name="Percentuale 2" xfId="115"/>
    <cellStyle name="SAS FM Row drillable header" xfId="116"/>
    <cellStyle name="SAS FM Row header" xfId="117"/>
    <cellStyle name="Testo avviso" xfId="118"/>
    <cellStyle name="Testo avviso 2" xfId="119"/>
    <cellStyle name="Testo descrittivo" xfId="120"/>
    <cellStyle name="Testo descrittivo 2" xfId="121"/>
    <cellStyle name="Titolo" xfId="122"/>
    <cellStyle name="Titolo 1" xfId="123"/>
    <cellStyle name="Titolo 1 2" xfId="124"/>
    <cellStyle name="Titolo 2" xfId="125"/>
    <cellStyle name="Titolo 2 2" xfId="126"/>
    <cellStyle name="Titolo 3" xfId="127"/>
    <cellStyle name="Titolo 3 2" xfId="128"/>
    <cellStyle name="Titolo 4" xfId="129"/>
    <cellStyle name="Titolo 4 2" xfId="130"/>
    <cellStyle name="Titolo 5" xfId="131"/>
    <cellStyle name="Totale" xfId="132"/>
    <cellStyle name="Totale 2" xfId="133"/>
    <cellStyle name="Valore non valido" xfId="134"/>
    <cellStyle name="Valore non valido 2" xfId="135"/>
    <cellStyle name="Valore valido" xfId="136"/>
    <cellStyle name="Valore valido 2" xfId="137"/>
    <cellStyle name="Currency" xfId="138"/>
    <cellStyle name="Valuta (0)_% Attrezzature ed Edilizia" xfId="139"/>
    <cellStyle name="Currency [0]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ARS%20-%20Doc.%20cont.%2099\UTENTI\ECONOMIA\COMUNE\COOPERS\CONSOLID\CONSOL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AGIONER\BIL01\COSRI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0\AlimentazioneBil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irezione%20Amministrativa\Programmazione%20Controllo%20Finanziario\Utenti\roberto.visintin\BILANCIO%202010\Chiusura%202010\Sociale\bilancio%20SSC%20schemi%20di%20bilanci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2\Preventivo%202002\Bilanci%20aziende\ao%20ud\C.E.%2030.9.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rachellia\Documenti\PIANO%202003\proiezione%20SP%20al%2031-12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Bilanci\Consuntivi\Anno%202001\SCHEMI%20X%20CONSUNTIVO%202001%204.4.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%2099%20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\EXCEL\BUDGET%202002\budget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9consolidato\agenzia-preventivo%209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nvenzSISR\Anno%202004-Convenzione%20SISR\Conduzione%20Applicativa_2004\Applicativo_5_2_2004_vers_presentata\piano_2004_v3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903825\Impostazioni%20locali\Temporary%20Internet%20Files\OLK3A\CONDUZIONE\CONDUZIONE%20APPLICATIVA\piano_2004_SaS_Calcolo_Variazione_Aziend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ES%20Area%20dell'Economia%20Sanitaria\2.Documenti%20condivisi\BILANCI\2009\III%20report\extra%20x%20chiusur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irezione%20Amministrativa\Programmazione%20Controllo%20Finanziario\Utenti\roberto.visintin\BILANCIO%202011\IV%20report%202011%20CE\Alimentazione_CE%204%20Ministeriale%20versione%20ufficial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zanini.gabriella\Documenti\Masterbg%202001\MB%202001%20prov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2\Preventivo%202002\Bilanci%20aziende\burlo\MASTER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tomasin.marzia\Impostazioni%20locali\Temporary%20Internet%20Files\OLK3\C.E.%2030.9.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VARIE\sediAS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RUE-Economico-Finanziario\Modelli%20ministeriali\2013\consuntivo\aziende\ass%203\Modelli%20ministeriali%20chiusura%202013%20-%20ufficiali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tomasin.marzia\Impostazioni%20locali\Temporary%20Internet%20Files\OLK3\COMUNE\BILANCI\2000\AlimentazioneBil0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EXCEL\BUDGET%202002\budget20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1\Preventivo%202001\Bilanci%20aziende\ass%202\BILANCIO%20199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RUE-Economico-Finanziario\118\PdC%20rielaborato_per%20ASSR_12_08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Chiusura%201998\consolidato98\Conto%20economico\Consol%20CE%2099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Preventivo%201999\Consolidato%20prev99\Conto%20economico\Consol%20CE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anna.covre\Impostazioni%20locali\Temporary%20Internet%20Files\OLK1\app.da%20autorizz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ILANCIO%2019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AGIONER\BIL01\COSR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</sheetNames>
    <sheetDataSet>
      <sheetData sheetId="14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>Ricavi per altre prestazioni </v>
          </cell>
          <cell r="G15">
            <v>0</v>
          </cell>
        </row>
        <row r="16">
          <cell r="B16" t="str">
            <v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.E. preventivo"/>
      <sheetName val="Alimentazione"/>
      <sheetName val="immob."/>
      <sheetName val="Deb vs forn."/>
      <sheetName val="ratei e risconti"/>
      <sheetName val="fondi"/>
      <sheetName val="patrim.net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.E minist.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SSR 99"/>
      <sheetName val="BILANCIO SSR 2000"/>
      <sheetName val="RICOVERI INFRAGRUPPO"/>
      <sheetName val="PREST. AMBULAT.  INFRAGRUPPO"/>
      <sheetName val="rettifiche di eliminaz.'99"/>
      <sheetName val="rettifiche di eliminaz.2000"/>
      <sheetName val="variazioni '99"/>
      <sheetName val="variazioni 2000"/>
      <sheetName val="RICONCILIAZ. 1999"/>
      <sheetName val="RICONCILIAZ. 2000"/>
      <sheetName val="CONTRIB. REGIONALI 1999"/>
      <sheetName val="CONTRIB. REGIONALI 2000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d.liquidità"/>
      <sheetName val="Alim C.E."/>
      <sheetName val="Schema C.E."/>
      <sheetName val="Schema C.E. in Euro"/>
      <sheetName val="contributi effettivi"/>
      <sheetName val="contributo straordinario"/>
      <sheetName val="fondi 2002"/>
      <sheetName val="pers.2002"/>
      <sheetName val="irap "/>
      <sheetName val="Acc.to rinnovi contrattuali"/>
      <sheetName val="Schema ROS"/>
      <sheetName val="ricavi da prestazioni"/>
      <sheetName val="costi per prestazioni"/>
      <sheetName val="tetti ricovero"/>
      <sheetName val="tetti ambulatoriali 1 "/>
      <sheetName val="tetti ambulatorial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</sheetNames>
    <sheetDataSet>
      <sheetData sheetId="0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</sheetNames>
    <sheetDataSet>
      <sheetData sheetId="0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6">
        <row r="31">
          <cell r="W31">
            <v>0.1</v>
          </cell>
        </row>
        <row r="32">
          <cell r="W32">
            <v>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4.1 attraz"/>
      <sheetName val="4.2 fuga"/>
      <sheetName val="4.3 priv ric"/>
      <sheetName val="4.4 priv ambul"/>
      <sheetName val="5 conguagli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  <sheetName val="Alimentazione PdC"/>
      <sheetName val="contributi effettivi"/>
      <sheetName val="ricavi da prestazioni"/>
      <sheetName val="costi per prestazioni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DG_tesoreria"/>
      <sheetName val="immob.precons.01"/>
      <sheetName val="fondi"/>
      <sheetName val="patrim.nett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.E minist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Foglio2"/>
      <sheetName val="Foglio3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#RI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  <sheetName val="Alim CE"/>
      <sheetName val="contributi"/>
      <sheetName val="ricavi SSR"/>
      <sheetName val="costi SSR"/>
      <sheetName val="SP Attivo"/>
      <sheetName val="SP Passivo"/>
      <sheetName val="Alim SP"/>
      <sheetName val="CP"/>
      <sheetName val="LA"/>
      <sheetName val="Mod.LA-al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nd.liquidità"/>
      <sheetName val="Alim C.E."/>
      <sheetName val="Schema C.E."/>
      <sheetName val="Schema C.E. in Euro"/>
      <sheetName val="contributi effettivi"/>
      <sheetName val="contributo straordinario"/>
      <sheetName val="fondi 2002"/>
      <sheetName val="pers.2002"/>
      <sheetName val="irap "/>
      <sheetName val="Acc.to rinnovi contrattuali"/>
      <sheetName val="Schema ROS"/>
      <sheetName val="ricavi da prestazioni"/>
      <sheetName val="costi per prestazioni"/>
      <sheetName val="tetti ricovero"/>
      <sheetName val="tetti ambulatoriali 1 "/>
      <sheetName val="tetti ambulatoriali 2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odello SP_Attivo (NEW)"/>
      <sheetName val="Modello SP_Passivo (NEW)"/>
      <sheetName val="Modello CE Costi (rielaborato)"/>
      <sheetName val="Modello CE Ricavi (rielaborato)"/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SSR 99"/>
      <sheetName val="BILANCIO SSR 2000"/>
      <sheetName val="RICOVERI INFRAGRUPPO"/>
      <sheetName val="PREST. AMBULAT.  INFRAGRUPPO"/>
      <sheetName val="rettifiche di eliminaz.'99"/>
      <sheetName val="rettifiche di eliminaz.2000"/>
      <sheetName val="variazioni '99"/>
      <sheetName val="variazioni 2000"/>
      <sheetName val="RICONCILIAZ. 1999"/>
      <sheetName val="RICONCILIAZ. 2000"/>
      <sheetName val="CONTRIB. REGIONALI 1999"/>
      <sheetName val="CONTRIB. REGIONALI 2000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p. di rilievo ass &amp; ao (2006)"/>
      <sheetName val="app. di rilievo completo (2006)"/>
      <sheetName val="app. da autorizzare (2006)"/>
      <sheetName val="app. rilievo (2006 var.31.12)"/>
      <sheetName val="app. di rilievo completo (2007)"/>
      <sheetName val="app. da autorizzare (2007)"/>
      <sheetName val="#RI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zoomScale="130" zoomScaleNormal="130" zoomScalePageLayoutView="0" workbookViewId="0" topLeftCell="A1">
      <selection activeCell="A1" sqref="A1:A2"/>
    </sheetView>
  </sheetViews>
  <sheetFormatPr defaultColWidth="9.140625" defaultRowHeight="12.75"/>
  <cols>
    <col min="1" max="2" width="3.421875" style="24" customWidth="1"/>
    <col min="3" max="4" width="2.7109375" style="24" customWidth="1"/>
    <col min="5" max="5" width="3.421875" style="24" customWidth="1"/>
    <col min="6" max="6" width="45.8515625" style="1" bestFit="1" customWidth="1"/>
    <col min="7" max="8" width="9.7109375" style="55" customWidth="1"/>
    <col min="9" max="9" width="9.7109375" style="245" customWidth="1"/>
    <col min="10" max="10" width="9.7109375" style="246" customWidth="1"/>
    <col min="11" max="11" width="9.7109375" style="326" customWidth="1"/>
    <col min="12" max="12" width="7.7109375" style="113" customWidth="1"/>
    <col min="13" max="16" width="9.140625" style="1" customWidth="1"/>
    <col min="17" max="17" width="12.7109375" style="1" bestFit="1" customWidth="1"/>
    <col min="18" max="18" width="9.140625" style="1" customWidth="1"/>
    <col min="19" max="19" width="10.8515625" style="1" bestFit="1" customWidth="1"/>
    <col min="20" max="16384" width="9.140625" style="1" customWidth="1"/>
  </cols>
  <sheetData>
    <row r="1" ht="12.75">
      <c r="A1" s="411" t="s">
        <v>673</v>
      </c>
    </row>
    <row r="2" ht="12.75">
      <c r="A2" s="411" t="s">
        <v>674</v>
      </c>
    </row>
    <row r="3" ht="13.5" thickBot="1">
      <c r="A3" s="1"/>
    </row>
    <row r="4" spans="1:12" ht="36" customHeight="1" thickBot="1">
      <c r="A4" s="352" t="s">
        <v>113</v>
      </c>
      <c r="B4" s="353"/>
      <c r="C4" s="353"/>
      <c r="D4" s="353"/>
      <c r="E4" s="353"/>
      <c r="F4" s="353"/>
      <c r="G4" s="353"/>
      <c r="H4" s="353"/>
      <c r="I4" s="353"/>
      <c r="J4" s="353"/>
      <c r="K4" s="356" t="s">
        <v>114</v>
      </c>
      <c r="L4" s="357"/>
    </row>
    <row r="5" spans="1:12" ht="13.5" thickBot="1">
      <c r="A5" s="22"/>
      <c r="B5" s="22"/>
      <c r="C5" s="22"/>
      <c r="D5" s="22"/>
      <c r="E5" s="22"/>
      <c r="F5" s="19"/>
      <c r="G5" s="57"/>
      <c r="H5" s="57"/>
      <c r="I5" s="215"/>
      <c r="J5" s="216"/>
      <c r="K5" s="305"/>
      <c r="L5" s="114"/>
    </row>
    <row r="6" spans="1:12" ht="12.75" customHeight="1">
      <c r="A6" s="358" t="s">
        <v>669</v>
      </c>
      <c r="B6" s="359"/>
      <c r="C6" s="359"/>
      <c r="D6" s="359"/>
      <c r="E6" s="359"/>
      <c r="F6" s="359"/>
      <c r="G6" s="359"/>
      <c r="H6" s="359"/>
      <c r="I6" s="363" t="s">
        <v>644</v>
      </c>
      <c r="J6" s="363" t="s">
        <v>645</v>
      </c>
      <c r="K6" s="365" t="s">
        <v>646</v>
      </c>
      <c r="L6" s="366"/>
    </row>
    <row r="7" spans="1:12" s="21" customFormat="1" ht="39.75" customHeight="1">
      <c r="A7" s="360"/>
      <c r="B7" s="361"/>
      <c r="C7" s="361"/>
      <c r="D7" s="361"/>
      <c r="E7" s="361"/>
      <c r="F7" s="361"/>
      <c r="G7" s="362"/>
      <c r="H7" s="361"/>
      <c r="I7" s="364"/>
      <c r="J7" s="364"/>
      <c r="K7" s="306" t="s">
        <v>258</v>
      </c>
      <c r="L7" s="91" t="s">
        <v>259</v>
      </c>
    </row>
    <row r="8" spans="1:12" ht="12.75">
      <c r="A8" s="62"/>
      <c r="B8" s="54"/>
      <c r="C8" s="54"/>
      <c r="D8" s="54"/>
      <c r="E8" s="54"/>
      <c r="F8" s="20"/>
      <c r="G8" s="115"/>
      <c r="H8" s="116"/>
      <c r="I8" s="242"/>
      <c r="J8" s="243"/>
      <c r="K8" s="307"/>
      <c r="L8" s="117"/>
    </row>
    <row r="9" spans="1:12" s="129" customFormat="1" ht="11.25">
      <c r="A9" s="41" t="s">
        <v>198</v>
      </c>
      <c r="B9" s="7" t="s">
        <v>219</v>
      </c>
      <c r="C9" s="28"/>
      <c r="D9" s="28"/>
      <c r="E9" s="28"/>
      <c r="F9" s="126"/>
      <c r="G9" s="127"/>
      <c r="H9" s="127"/>
      <c r="I9" s="155"/>
      <c r="J9" s="244"/>
      <c r="K9" s="308"/>
      <c r="L9" s="128"/>
    </row>
    <row r="10" spans="1:12" s="129" customFormat="1" ht="11.25">
      <c r="A10" s="150"/>
      <c r="B10" s="151" t="s">
        <v>115</v>
      </c>
      <c r="C10" s="152" t="s">
        <v>235</v>
      </c>
      <c r="D10" s="151"/>
      <c r="E10" s="151"/>
      <c r="F10" s="153"/>
      <c r="G10" s="154"/>
      <c r="H10" s="154"/>
      <c r="I10" s="155">
        <v>146206</v>
      </c>
      <c r="J10" s="155">
        <v>104247</v>
      </c>
      <c r="K10" s="303">
        <v>41959</v>
      </c>
      <c r="L10" s="128">
        <v>0.4025</v>
      </c>
    </row>
    <row r="11" spans="1:12" s="55" customFormat="1" ht="11.25">
      <c r="A11" s="157"/>
      <c r="B11" s="151"/>
      <c r="C11" s="158" t="s">
        <v>326</v>
      </c>
      <c r="D11" s="159" t="s">
        <v>236</v>
      </c>
      <c r="E11" s="151"/>
      <c r="F11" s="160"/>
      <c r="G11" s="121"/>
      <c r="H11" s="121"/>
      <c r="I11" s="161">
        <v>0</v>
      </c>
      <c r="J11" s="161">
        <v>0</v>
      </c>
      <c r="K11" s="309">
        <v>0</v>
      </c>
      <c r="L11" s="247" t="s">
        <v>672</v>
      </c>
    </row>
    <row r="12" spans="1:12" s="55" customFormat="1" ht="11.25">
      <c r="A12" s="163"/>
      <c r="B12" s="151"/>
      <c r="C12" s="158" t="s">
        <v>327</v>
      </c>
      <c r="D12" s="159" t="s">
        <v>118</v>
      </c>
      <c r="E12" s="151"/>
      <c r="F12" s="119"/>
      <c r="G12" s="121"/>
      <c r="H12" s="121"/>
      <c r="I12" s="162">
        <v>0</v>
      </c>
      <c r="J12" s="162">
        <v>0</v>
      </c>
      <c r="K12" s="309">
        <v>0</v>
      </c>
      <c r="L12" s="94" t="s">
        <v>672</v>
      </c>
    </row>
    <row r="13" spans="1:20" s="55" customFormat="1" ht="11.25">
      <c r="A13" s="163"/>
      <c r="B13" s="151"/>
      <c r="C13" s="158" t="s">
        <v>328</v>
      </c>
      <c r="D13" s="159" t="s">
        <v>119</v>
      </c>
      <c r="E13" s="151"/>
      <c r="F13" s="119"/>
      <c r="G13" s="121"/>
      <c r="H13" s="121"/>
      <c r="I13" s="162">
        <v>0</v>
      </c>
      <c r="J13" s="162">
        <v>50788</v>
      </c>
      <c r="K13" s="309">
        <v>-50788</v>
      </c>
      <c r="L13" s="94">
        <v>-1</v>
      </c>
      <c r="Q13" s="56"/>
      <c r="R13" s="56"/>
      <c r="S13" s="56"/>
      <c r="T13" s="56"/>
    </row>
    <row r="14" spans="1:20" s="55" customFormat="1" ht="11.25">
      <c r="A14" s="163"/>
      <c r="B14" s="151"/>
      <c r="C14" s="158" t="s">
        <v>116</v>
      </c>
      <c r="D14" s="159" t="s">
        <v>120</v>
      </c>
      <c r="E14" s="151"/>
      <c r="F14" s="119"/>
      <c r="G14" s="121"/>
      <c r="H14" s="121"/>
      <c r="I14" s="162">
        <v>83192</v>
      </c>
      <c r="J14" s="162">
        <v>53459</v>
      </c>
      <c r="K14" s="309">
        <v>29733</v>
      </c>
      <c r="L14" s="94">
        <v>0.5562</v>
      </c>
      <c r="Q14" s="56"/>
      <c r="R14" s="56"/>
      <c r="S14" s="56"/>
      <c r="T14" s="56"/>
    </row>
    <row r="15" spans="1:20" s="55" customFormat="1" ht="11.25">
      <c r="A15" s="163"/>
      <c r="B15" s="151"/>
      <c r="C15" s="158" t="s">
        <v>117</v>
      </c>
      <c r="D15" s="159" t="s">
        <v>121</v>
      </c>
      <c r="E15" s="151"/>
      <c r="F15" s="119"/>
      <c r="G15" s="121"/>
      <c r="H15" s="121"/>
      <c r="I15" s="286">
        <v>63014</v>
      </c>
      <c r="J15" s="162">
        <v>0</v>
      </c>
      <c r="K15" s="309">
        <v>63014</v>
      </c>
      <c r="L15" s="94" t="s">
        <v>672</v>
      </c>
      <c r="Q15" s="56"/>
      <c r="R15" s="56"/>
      <c r="S15" s="56"/>
      <c r="T15" s="56"/>
    </row>
    <row r="16" spans="1:20" s="129" customFormat="1" ht="11.25">
      <c r="A16" s="150"/>
      <c r="B16" s="151" t="s">
        <v>122</v>
      </c>
      <c r="C16" s="164" t="s">
        <v>237</v>
      </c>
      <c r="D16" s="151"/>
      <c r="E16" s="151"/>
      <c r="F16" s="153"/>
      <c r="G16" s="154"/>
      <c r="H16" s="154"/>
      <c r="I16" s="156">
        <v>58587464</v>
      </c>
      <c r="J16" s="156">
        <v>57252368</v>
      </c>
      <c r="K16" s="303">
        <v>1335096</v>
      </c>
      <c r="L16" s="102">
        <v>0.0233</v>
      </c>
      <c r="Q16" s="130"/>
      <c r="R16" s="130"/>
      <c r="S16" s="130"/>
      <c r="T16" s="130"/>
    </row>
    <row r="17" spans="1:20" s="55" customFormat="1" ht="11.25">
      <c r="A17" s="157"/>
      <c r="B17" s="151"/>
      <c r="C17" s="158" t="s">
        <v>326</v>
      </c>
      <c r="D17" s="159" t="s">
        <v>220</v>
      </c>
      <c r="E17" s="158"/>
      <c r="F17" s="165"/>
      <c r="G17" s="121"/>
      <c r="H17" s="121"/>
      <c r="I17" s="162">
        <v>227270</v>
      </c>
      <c r="J17" s="162">
        <v>236668</v>
      </c>
      <c r="K17" s="309">
        <v>-9398</v>
      </c>
      <c r="L17" s="94">
        <v>-0.0397</v>
      </c>
      <c r="Q17" s="56"/>
      <c r="R17" s="56"/>
      <c r="S17" s="56"/>
      <c r="T17" s="56"/>
    </row>
    <row r="18" spans="1:20" s="264" customFormat="1" ht="11.25">
      <c r="A18" s="259"/>
      <c r="B18" s="260"/>
      <c r="C18" s="168"/>
      <c r="D18" s="168" t="s">
        <v>281</v>
      </c>
      <c r="E18" s="169" t="s">
        <v>221</v>
      </c>
      <c r="F18" s="261"/>
      <c r="G18" s="262"/>
      <c r="H18" s="262"/>
      <c r="I18" s="161">
        <v>141484</v>
      </c>
      <c r="J18" s="161">
        <v>150882</v>
      </c>
      <c r="K18" s="310">
        <v>-9398</v>
      </c>
      <c r="L18" s="263">
        <v>-0.0623</v>
      </c>
      <c r="Q18" s="265"/>
      <c r="R18" s="265"/>
      <c r="S18" s="265"/>
      <c r="T18" s="265"/>
    </row>
    <row r="19" spans="1:20" s="264" customFormat="1" ht="11.25">
      <c r="A19" s="259"/>
      <c r="B19" s="260"/>
      <c r="C19" s="168"/>
      <c r="D19" s="168" t="s">
        <v>282</v>
      </c>
      <c r="E19" s="169" t="s">
        <v>222</v>
      </c>
      <c r="F19" s="165"/>
      <c r="G19" s="262"/>
      <c r="H19" s="262"/>
      <c r="I19" s="161">
        <v>85786</v>
      </c>
      <c r="J19" s="161">
        <v>85786</v>
      </c>
      <c r="K19" s="310">
        <v>0</v>
      </c>
      <c r="L19" s="263">
        <v>0</v>
      </c>
      <c r="Q19" s="265"/>
      <c r="R19" s="265"/>
      <c r="S19" s="265"/>
      <c r="T19" s="265"/>
    </row>
    <row r="20" spans="1:20" s="55" customFormat="1" ht="11.25">
      <c r="A20" s="157"/>
      <c r="B20" s="151"/>
      <c r="C20" s="158" t="s">
        <v>327</v>
      </c>
      <c r="D20" s="167" t="s">
        <v>196</v>
      </c>
      <c r="E20" s="151"/>
      <c r="F20" s="119"/>
      <c r="G20" s="121"/>
      <c r="H20" s="121"/>
      <c r="I20" s="162">
        <v>46581257</v>
      </c>
      <c r="J20" s="162">
        <v>47136250</v>
      </c>
      <c r="K20" s="309">
        <v>-554993</v>
      </c>
      <c r="L20" s="94">
        <v>-0.0118</v>
      </c>
      <c r="Q20" s="56"/>
      <c r="R20" s="56"/>
      <c r="S20" s="56"/>
      <c r="T20" s="56"/>
    </row>
    <row r="21" spans="1:20" s="55" customFormat="1" ht="11.25">
      <c r="A21" s="157"/>
      <c r="B21" s="151"/>
      <c r="C21" s="158"/>
      <c r="D21" s="168" t="s">
        <v>281</v>
      </c>
      <c r="E21" s="169" t="s">
        <v>123</v>
      </c>
      <c r="F21" s="165"/>
      <c r="G21" s="121"/>
      <c r="H21" s="121"/>
      <c r="I21" s="162">
        <v>666121</v>
      </c>
      <c r="J21" s="162">
        <v>594668</v>
      </c>
      <c r="K21" s="309">
        <v>71453</v>
      </c>
      <c r="L21" s="94">
        <v>0.1202</v>
      </c>
      <c r="Q21" s="56"/>
      <c r="R21" s="56"/>
      <c r="S21" s="56"/>
      <c r="T21" s="56"/>
    </row>
    <row r="22" spans="1:20" s="55" customFormat="1" ht="11.25">
      <c r="A22" s="157"/>
      <c r="B22" s="151"/>
      <c r="C22" s="158"/>
      <c r="D22" s="168" t="s">
        <v>282</v>
      </c>
      <c r="E22" s="169" t="s">
        <v>124</v>
      </c>
      <c r="F22" s="159"/>
      <c r="G22" s="121"/>
      <c r="H22" s="121"/>
      <c r="I22" s="162">
        <v>45915136</v>
      </c>
      <c r="J22" s="162">
        <v>46541582</v>
      </c>
      <c r="K22" s="309">
        <v>-626446</v>
      </c>
      <c r="L22" s="94">
        <v>-0.0135</v>
      </c>
      <c r="Q22" s="56"/>
      <c r="R22" s="56"/>
      <c r="S22" s="56"/>
      <c r="T22" s="56"/>
    </row>
    <row r="23" spans="1:20" s="55" customFormat="1" ht="11.25">
      <c r="A23" s="157"/>
      <c r="B23" s="151"/>
      <c r="C23" s="158" t="s">
        <v>328</v>
      </c>
      <c r="D23" s="167" t="s">
        <v>197</v>
      </c>
      <c r="E23" s="151"/>
      <c r="F23" s="159"/>
      <c r="G23" s="121"/>
      <c r="H23" s="121"/>
      <c r="I23" s="286">
        <v>210204</v>
      </c>
      <c r="J23" s="162">
        <v>247777</v>
      </c>
      <c r="K23" s="309">
        <v>-37573</v>
      </c>
      <c r="L23" s="94">
        <v>-0.1516</v>
      </c>
      <c r="Q23" s="56"/>
      <c r="R23" s="56"/>
      <c r="S23" s="56"/>
      <c r="T23" s="56"/>
    </row>
    <row r="24" spans="1:20" s="55" customFormat="1" ht="11.25">
      <c r="A24" s="157"/>
      <c r="B24" s="151"/>
      <c r="C24" s="158" t="s">
        <v>116</v>
      </c>
      <c r="D24" s="170" t="s">
        <v>125</v>
      </c>
      <c r="E24" s="151"/>
      <c r="F24" s="119"/>
      <c r="G24" s="121"/>
      <c r="H24" s="121"/>
      <c r="I24" s="162">
        <v>4353517</v>
      </c>
      <c r="J24" s="162">
        <v>4410564</v>
      </c>
      <c r="K24" s="309">
        <v>-57047</v>
      </c>
      <c r="L24" s="94">
        <v>-0.0129</v>
      </c>
      <c r="Q24" s="56"/>
      <c r="R24" s="56"/>
      <c r="S24" s="56"/>
      <c r="T24" s="56"/>
    </row>
    <row r="25" spans="1:20" s="55" customFormat="1" ht="11.25">
      <c r="A25" s="157"/>
      <c r="B25" s="151"/>
      <c r="C25" s="158" t="s">
        <v>117</v>
      </c>
      <c r="D25" s="167" t="s">
        <v>223</v>
      </c>
      <c r="E25" s="151"/>
      <c r="F25" s="160"/>
      <c r="G25" s="121"/>
      <c r="H25" s="121"/>
      <c r="I25" s="162">
        <v>575488</v>
      </c>
      <c r="J25" s="162">
        <v>606603</v>
      </c>
      <c r="K25" s="309">
        <v>-31115</v>
      </c>
      <c r="L25" s="94">
        <v>-0.0513</v>
      </c>
      <c r="Q25" s="56"/>
      <c r="R25" s="56"/>
      <c r="S25" s="56"/>
      <c r="T25" s="56"/>
    </row>
    <row r="26" spans="1:20" s="55" customFormat="1" ht="11.25">
      <c r="A26" s="157"/>
      <c r="B26" s="151"/>
      <c r="C26" s="158" t="s">
        <v>126</v>
      </c>
      <c r="D26" s="167" t="s">
        <v>217</v>
      </c>
      <c r="E26" s="151"/>
      <c r="F26" s="159"/>
      <c r="G26" s="121"/>
      <c r="H26" s="121"/>
      <c r="I26" s="162">
        <v>73585</v>
      </c>
      <c r="J26" s="162">
        <v>4086</v>
      </c>
      <c r="K26" s="309">
        <v>69499</v>
      </c>
      <c r="L26" s="94">
        <v>17.0091</v>
      </c>
      <c r="Q26" s="56"/>
      <c r="R26" s="56"/>
      <c r="S26" s="56"/>
      <c r="T26" s="56"/>
    </row>
    <row r="27" spans="1:20" s="55" customFormat="1" ht="11.25">
      <c r="A27" s="157"/>
      <c r="B27" s="151"/>
      <c r="C27" s="158" t="s">
        <v>127</v>
      </c>
      <c r="D27" s="167" t="s">
        <v>128</v>
      </c>
      <c r="E27" s="151"/>
      <c r="F27" s="159"/>
      <c r="G27" s="121"/>
      <c r="H27" s="121"/>
      <c r="I27" s="162">
        <v>28950</v>
      </c>
      <c r="J27" s="162">
        <v>28950</v>
      </c>
      <c r="K27" s="309">
        <v>0</v>
      </c>
      <c r="L27" s="94">
        <v>0</v>
      </c>
      <c r="Q27" s="56"/>
      <c r="R27" s="56"/>
      <c r="S27" s="56"/>
      <c r="T27" s="56"/>
    </row>
    <row r="28" spans="1:20" s="55" customFormat="1" ht="11.25">
      <c r="A28" s="157"/>
      <c r="B28" s="151"/>
      <c r="C28" s="158" t="s">
        <v>129</v>
      </c>
      <c r="D28" s="159" t="s">
        <v>130</v>
      </c>
      <c r="E28" s="151"/>
      <c r="F28" s="119"/>
      <c r="G28" s="121"/>
      <c r="H28" s="121"/>
      <c r="I28" s="286">
        <v>352115</v>
      </c>
      <c r="J28" s="162">
        <v>418787</v>
      </c>
      <c r="K28" s="309">
        <v>-66672</v>
      </c>
      <c r="L28" s="94">
        <v>-0.1592</v>
      </c>
      <c r="Q28" s="56"/>
      <c r="R28" s="56"/>
      <c r="S28" s="56"/>
      <c r="T28" s="56"/>
    </row>
    <row r="29" spans="1:20" s="55" customFormat="1" ht="11.25">
      <c r="A29" s="157"/>
      <c r="B29" s="151"/>
      <c r="C29" s="158" t="s">
        <v>132</v>
      </c>
      <c r="D29" s="159" t="s">
        <v>131</v>
      </c>
      <c r="E29" s="151"/>
      <c r="F29" s="160"/>
      <c r="G29" s="121"/>
      <c r="H29" s="121"/>
      <c r="I29" s="162">
        <v>6185078</v>
      </c>
      <c r="J29" s="162">
        <v>4162683</v>
      </c>
      <c r="K29" s="309">
        <v>2022395</v>
      </c>
      <c r="L29" s="94">
        <v>0.4858</v>
      </c>
      <c r="Q29" s="56"/>
      <c r="R29" s="56"/>
      <c r="S29" s="56"/>
      <c r="T29" s="56"/>
    </row>
    <row r="30" spans="1:20" s="55" customFormat="1" ht="11.25">
      <c r="A30" s="157"/>
      <c r="B30" s="151"/>
      <c r="C30" s="158"/>
      <c r="D30" s="151"/>
      <c r="E30" s="151"/>
      <c r="F30" s="167"/>
      <c r="G30" s="171" t="s">
        <v>238</v>
      </c>
      <c r="H30" s="172" t="s">
        <v>239</v>
      </c>
      <c r="I30" s="162"/>
      <c r="J30" s="162"/>
      <c r="K30" s="309"/>
      <c r="L30" s="94"/>
      <c r="Q30" s="56"/>
      <c r="R30" s="56"/>
      <c r="S30" s="56"/>
      <c r="T30" s="56"/>
    </row>
    <row r="31" spans="1:20" s="129" customFormat="1" ht="21.75" customHeight="1">
      <c r="A31" s="150"/>
      <c r="B31" s="173" t="s">
        <v>133</v>
      </c>
      <c r="C31" s="354" t="s">
        <v>134</v>
      </c>
      <c r="D31" s="354"/>
      <c r="E31" s="354"/>
      <c r="F31" s="355"/>
      <c r="G31" s="131"/>
      <c r="H31" s="132"/>
      <c r="I31" s="156">
        <v>15556</v>
      </c>
      <c r="J31" s="156">
        <v>35556</v>
      </c>
      <c r="K31" s="303">
        <v>-20000</v>
      </c>
      <c r="L31" s="102">
        <v>-0.5625</v>
      </c>
      <c r="Q31" s="130"/>
      <c r="R31" s="130"/>
      <c r="S31" s="130"/>
      <c r="T31" s="130"/>
    </row>
    <row r="32" spans="1:20" s="55" customFormat="1" ht="11.25">
      <c r="A32" s="163"/>
      <c r="B32" s="151"/>
      <c r="C32" s="158" t="s">
        <v>326</v>
      </c>
      <c r="D32" s="174" t="s">
        <v>135</v>
      </c>
      <c r="E32" s="119"/>
      <c r="F32" s="119"/>
      <c r="G32" s="118">
        <f>SUM(G33:G36)</f>
        <v>0</v>
      </c>
      <c r="H32" s="119">
        <v>9306</v>
      </c>
      <c r="I32" s="162">
        <v>9306</v>
      </c>
      <c r="J32" s="162">
        <v>9306</v>
      </c>
      <c r="K32" s="309">
        <v>0</v>
      </c>
      <c r="L32" s="94">
        <v>0</v>
      </c>
      <c r="Q32" s="56"/>
      <c r="R32" s="56"/>
      <c r="S32" s="56"/>
      <c r="T32" s="56"/>
    </row>
    <row r="33" spans="1:20" s="55" customFormat="1" ht="11.25">
      <c r="A33" s="157"/>
      <c r="B33" s="151"/>
      <c r="C33" s="151"/>
      <c r="D33" s="168" t="s">
        <v>281</v>
      </c>
      <c r="E33" s="165" t="s">
        <v>136</v>
      </c>
      <c r="F33" s="160"/>
      <c r="G33" s="120"/>
      <c r="H33" s="121"/>
      <c r="I33" s="162">
        <v>0</v>
      </c>
      <c r="J33" s="162">
        <v>0</v>
      </c>
      <c r="K33" s="309">
        <v>0</v>
      </c>
      <c r="L33" s="94" t="s">
        <v>672</v>
      </c>
      <c r="Q33" s="56"/>
      <c r="R33" s="56"/>
      <c r="S33" s="56"/>
      <c r="T33" s="56"/>
    </row>
    <row r="34" spans="1:20" s="55" customFormat="1" ht="11.25">
      <c r="A34" s="157"/>
      <c r="B34" s="151"/>
      <c r="C34" s="151"/>
      <c r="D34" s="168" t="s">
        <v>282</v>
      </c>
      <c r="E34" s="165" t="s">
        <v>137</v>
      </c>
      <c r="F34" s="165"/>
      <c r="G34" s="120"/>
      <c r="H34" s="121"/>
      <c r="I34" s="162">
        <v>9306</v>
      </c>
      <c r="J34" s="162">
        <v>9306</v>
      </c>
      <c r="K34" s="309">
        <v>0</v>
      </c>
      <c r="L34" s="94">
        <v>0</v>
      </c>
      <c r="Q34" s="56"/>
      <c r="R34" s="56"/>
      <c r="S34" s="56"/>
      <c r="T34" s="56"/>
    </row>
    <row r="35" spans="1:20" s="55" customFormat="1" ht="11.25">
      <c r="A35" s="157"/>
      <c r="B35" s="151"/>
      <c r="C35" s="158"/>
      <c r="D35" s="168" t="s">
        <v>283</v>
      </c>
      <c r="E35" s="175" t="s">
        <v>138</v>
      </c>
      <c r="F35" s="160"/>
      <c r="G35" s="120"/>
      <c r="H35" s="121"/>
      <c r="I35" s="162">
        <v>0</v>
      </c>
      <c r="J35" s="162">
        <v>0</v>
      </c>
      <c r="K35" s="309">
        <v>0</v>
      </c>
      <c r="L35" s="94" t="s">
        <v>672</v>
      </c>
      <c r="Q35" s="56"/>
      <c r="R35" s="56"/>
      <c r="S35" s="56"/>
      <c r="T35" s="56"/>
    </row>
    <row r="36" spans="1:20" s="55" customFormat="1" ht="11.25">
      <c r="A36" s="157"/>
      <c r="B36" s="151"/>
      <c r="C36" s="158"/>
      <c r="D36" s="168" t="s">
        <v>284</v>
      </c>
      <c r="E36" s="175" t="s">
        <v>139</v>
      </c>
      <c r="F36" s="174"/>
      <c r="G36" s="120"/>
      <c r="H36" s="122"/>
      <c r="I36" s="162">
        <v>0</v>
      </c>
      <c r="J36" s="162">
        <v>0</v>
      </c>
      <c r="K36" s="303">
        <v>0</v>
      </c>
      <c r="L36" s="102" t="s">
        <v>672</v>
      </c>
      <c r="Q36" s="56"/>
      <c r="R36" s="56"/>
      <c r="S36" s="56"/>
      <c r="T36" s="56"/>
    </row>
    <row r="37" spans="1:20" s="55" customFormat="1" ht="11.25">
      <c r="A37" s="157"/>
      <c r="B37" s="151"/>
      <c r="C37" s="158" t="s">
        <v>327</v>
      </c>
      <c r="D37" s="167" t="s">
        <v>224</v>
      </c>
      <c r="E37" s="158"/>
      <c r="F37" s="174"/>
      <c r="G37" s="176"/>
      <c r="H37" s="121"/>
      <c r="I37" s="162">
        <v>6250</v>
      </c>
      <c r="J37" s="162">
        <v>26250</v>
      </c>
      <c r="K37" s="309">
        <v>-20000</v>
      </c>
      <c r="L37" s="94">
        <v>-0.7619</v>
      </c>
      <c r="Q37" s="56"/>
      <c r="R37" s="56"/>
      <c r="S37" s="56"/>
      <c r="T37" s="56"/>
    </row>
    <row r="38" spans="1:20" s="55" customFormat="1" ht="11.25">
      <c r="A38" s="157"/>
      <c r="B38" s="151"/>
      <c r="C38" s="158"/>
      <c r="D38" s="168" t="s">
        <v>281</v>
      </c>
      <c r="E38" s="169" t="s">
        <v>255</v>
      </c>
      <c r="F38" s="119"/>
      <c r="G38" s="121"/>
      <c r="H38" s="121"/>
      <c r="I38" s="162">
        <v>6250</v>
      </c>
      <c r="J38" s="162">
        <v>26250</v>
      </c>
      <c r="K38" s="309">
        <v>-20000</v>
      </c>
      <c r="L38" s="94">
        <v>-0.7619</v>
      </c>
      <c r="Q38" s="56"/>
      <c r="R38" s="56"/>
      <c r="S38" s="56"/>
      <c r="T38" s="56"/>
    </row>
    <row r="39" spans="1:20" s="55" customFormat="1" ht="11.25">
      <c r="A39" s="157"/>
      <c r="B39" s="151"/>
      <c r="C39" s="158"/>
      <c r="D39" s="168" t="s">
        <v>282</v>
      </c>
      <c r="E39" s="169" t="s">
        <v>140</v>
      </c>
      <c r="F39" s="159"/>
      <c r="G39" s="122"/>
      <c r="H39" s="121"/>
      <c r="I39" s="177">
        <v>0</v>
      </c>
      <c r="J39" s="177">
        <v>0</v>
      </c>
      <c r="K39" s="311">
        <v>0</v>
      </c>
      <c r="L39" s="248" t="s">
        <v>672</v>
      </c>
      <c r="Q39" s="56"/>
      <c r="R39" s="56"/>
      <c r="S39" s="56"/>
      <c r="T39" s="56"/>
    </row>
    <row r="40" spans="1:20" s="129" customFormat="1" ht="10.5">
      <c r="A40" s="349" t="s">
        <v>141</v>
      </c>
      <c r="B40" s="350"/>
      <c r="C40" s="350"/>
      <c r="D40" s="350"/>
      <c r="E40" s="350"/>
      <c r="F40" s="350"/>
      <c r="G40" s="351"/>
      <c r="H40" s="350"/>
      <c r="I40" s="178">
        <v>58749226</v>
      </c>
      <c r="J40" s="178">
        <v>57392171</v>
      </c>
      <c r="K40" s="304">
        <v>1357055</v>
      </c>
      <c r="L40" s="104">
        <v>0.0236</v>
      </c>
      <c r="Q40" s="130"/>
      <c r="R40" s="130"/>
      <c r="S40" s="130"/>
      <c r="T40" s="130"/>
    </row>
    <row r="41" spans="1:20" s="129" customFormat="1" ht="10.5">
      <c r="A41" s="157"/>
      <c r="B41" s="151"/>
      <c r="C41" s="151"/>
      <c r="D41" s="151"/>
      <c r="E41" s="151"/>
      <c r="F41" s="179"/>
      <c r="G41" s="154"/>
      <c r="H41" s="154"/>
      <c r="I41" s="180"/>
      <c r="J41" s="180"/>
      <c r="K41" s="312"/>
      <c r="L41" s="249"/>
      <c r="Q41" s="130"/>
      <c r="R41" s="130"/>
      <c r="S41" s="130"/>
      <c r="T41" s="130"/>
    </row>
    <row r="42" spans="1:20" s="129" customFormat="1" ht="11.25">
      <c r="A42" s="181" t="s">
        <v>201</v>
      </c>
      <c r="B42" s="182" t="s">
        <v>225</v>
      </c>
      <c r="C42" s="183"/>
      <c r="D42" s="183"/>
      <c r="E42" s="183"/>
      <c r="F42" s="153"/>
      <c r="G42" s="154"/>
      <c r="H42" s="154"/>
      <c r="I42" s="155"/>
      <c r="J42" s="155"/>
      <c r="K42" s="313"/>
      <c r="L42" s="250"/>
      <c r="Q42" s="130"/>
      <c r="R42" s="130"/>
      <c r="S42" s="130"/>
      <c r="T42" s="130"/>
    </row>
    <row r="43" spans="1:20" s="129" customFormat="1" ht="11.25">
      <c r="A43" s="181"/>
      <c r="B43" s="183" t="s">
        <v>115</v>
      </c>
      <c r="C43" s="184" t="s">
        <v>240</v>
      </c>
      <c r="D43" s="183"/>
      <c r="E43" s="183"/>
      <c r="F43" s="179"/>
      <c r="G43" s="154"/>
      <c r="H43" s="154"/>
      <c r="I43" s="156">
        <v>1799981</v>
      </c>
      <c r="J43" s="156">
        <v>2025789</v>
      </c>
      <c r="K43" s="303">
        <v>-225808</v>
      </c>
      <c r="L43" s="102">
        <v>-0.1115</v>
      </c>
      <c r="Q43" s="130"/>
      <c r="R43" s="130"/>
      <c r="S43" s="130"/>
      <c r="T43" s="130"/>
    </row>
    <row r="44" spans="1:20" s="55" customFormat="1" ht="11.25">
      <c r="A44" s="181"/>
      <c r="B44" s="183"/>
      <c r="C44" s="185" t="s">
        <v>326</v>
      </c>
      <c r="D44" s="185" t="s">
        <v>142</v>
      </c>
      <c r="E44" s="183"/>
      <c r="F44" s="119"/>
      <c r="G44" s="121"/>
      <c r="H44" s="121"/>
      <c r="I44" s="162">
        <v>1715088</v>
      </c>
      <c r="J44" s="162">
        <v>1925196</v>
      </c>
      <c r="K44" s="309">
        <v>-210108</v>
      </c>
      <c r="L44" s="94">
        <v>-0.1091</v>
      </c>
      <c r="Q44" s="56"/>
      <c r="R44" s="56"/>
      <c r="S44" s="56"/>
      <c r="T44" s="56"/>
    </row>
    <row r="45" spans="1:20" s="55" customFormat="1" ht="11.25">
      <c r="A45" s="181"/>
      <c r="B45" s="183"/>
      <c r="C45" s="185" t="s">
        <v>327</v>
      </c>
      <c r="D45" s="185" t="s">
        <v>143</v>
      </c>
      <c r="E45" s="183"/>
      <c r="F45" s="159"/>
      <c r="G45" s="121"/>
      <c r="H45" s="121"/>
      <c r="I45" s="162">
        <v>84893</v>
      </c>
      <c r="J45" s="162">
        <v>100593</v>
      </c>
      <c r="K45" s="309">
        <v>-15700</v>
      </c>
      <c r="L45" s="94">
        <v>-0.1561</v>
      </c>
      <c r="Q45" s="56"/>
      <c r="R45" s="56"/>
      <c r="S45" s="56"/>
      <c r="T45" s="56"/>
    </row>
    <row r="46" spans="1:20" s="55" customFormat="1" ht="11.25">
      <c r="A46" s="181"/>
      <c r="B46" s="183"/>
      <c r="C46" s="185" t="s">
        <v>328</v>
      </c>
      <c r="D46" s="185" t="s">
        <v>144</v>
      </c>
      <c r="E46" s="183"/>
      <c r="F46" s="186"/>
      <c r="G46" s="121"/>
      <c r="H46" s="121"/>
      <c r="I46" s="162">
        <v>0</v>
      </c>
      <c r="J46" s="162">
        <v>0</v>
      </c>
      <c r="K46" s="309">
        <v>0</v>
      </c>
      <c r="L46" s="94" t="s">
        <v>672</v>
      </c>
      <c r="Q46" s="56"/>
      <c r="R46" s="56"/>
      <c r="S46" s="56"/>
      <c r="T46" s="56"/>
    </row>
    <row r="47" spans="1:20" s="55" customFormat="1" ht="11.25">
      <c r="A47" s="181"/>
      <c r="B47" s="183"/>
      <c r="C47" s="185" t="s">
        <v>116</v>
      </c>
      <c r="D47" s="185" t="s">
        <v>145</v>
      </c>
      <c r="E47" s="183"/>
      <c r="F47" s="159"/>
      <c r="G47" s="121"/>
      <c r="H47" s="121"/>
      <c r="I47" s="162">
        <v>0</v>
      </c>
      <c r="J47" s="162">
        <v>0</v>
      </c>
      <c r="K47" s="309">
        <v>0</v>
      </c>
      <c r="L47" s="94" t="s">
        <v>672</v>
      </c>
      <c r="Q47" s="56"/>
      <c r="R47" s="56"/>
      <c r="S47" s="56"/>
      <c r="T47" s="56"/>
    </row>
    <row r="48" spans="1:20" s="55" customFormat="1" ht="11.25">
      <c r="A48" s="181"/>
      <c r="B48" s="183"/>
      <c r="C48" s="183"/>
      <c r="D48" s="183"/>
      <c r="E48" s="183"/>
      <c r="F48" s="159"/>
      <c r="G48" s="171" t="s">
        <v>238</v>
      </c>
      <c r="H48" s="187" t="s">
        <v>239</v>
      </c>
      <c r="I48" s="162"/>
      <c r="J48" s="162"/>
      <c r="K48" s="309"/>
      <c r="L48" s="94"/>
      <c r="Q48" s="56"/>
      <c r="R48" s="56"/>
      <c r="S48" s="56"/>
      <c r="T48" s="56"/>
    </row>
    <row r="49" spans="1:20" s="129" customFormat="1" ht="21" customHeight="1">
      <c r="A49" s="188"/>
      <c r="B49" s="173" t="s">
        <v>122</v>
      </c>
      <c r="C49" s="354" t="s">
        <v>373</v>
      </c>
      <c r="D49" s="354"/>
      <c r="E49" s="354"/>
      <c r="F49" s="355"/>
      <c r="G49" s="133"/>
      <c r="H49" s="133"/>
      <c r="I49" s="156">
        <v>37744174</v>
      </c>
      <c r="J49" s="156">
        <v>40561289</v>
      </c>
      <c r="K49" s="303">
        <v>-2817115</v>
      </c>
      <c r="L49" s="102">
        <v>-0.0695</v>
      </c>
      <c r="Q49" s="130"/>
      <c r="R49" s="130"/>
      <c r="S49" s="130"/>
      <c r="T49" s="130"/>
    </row>
    <row r="50" spans="1:20" s="55" customFormat="1" ht="11.25">
      <c r="A50" s="189"/>
      <c r="B50" s="183"/>
      <c r="C50" s="185" t="s">
        <v>326</v>
      </c>
      <c r="D50" s="185" t="s">
        <v>146</v>
      </c>
      <c r="E50" s="183"/>
      <c r="F50" s="190"/>
      <c r="G50" s="123"/>
      <c r="H50" s="123"/>
      <c r="I50" s="162">
        <v>4929478</v>
      </c>
      <c r="J50" s="162">
        <v>4863862</v>
      </c>
      <c r="K50" s="309">
        <v>65616</v>
      </c>
      <c r="L50" s="94">
        <v>0.0135</v>
      </c>
      <c r="Q50" s="56"/>
      <c r="R50" s="56"/>
      <c r="S50" s="56"/>
      <c r="T50" s="56"/>
    </row>
    <row r="51" spans="1:20" s="55" customFormat="1" ht="11.25">
      <c r="A51" s="189"/>
      <c r="B51" s="183"/>
      <c r="C51" s="185"/>
      <c r="D51" s="191" t="s">
        <v>281</v>
      </c>
      <c r="E51" s="191" t="s">
        <v>147</v>
      </c>
      <c r="F51" s="190"/>
      <c r="G51" s="123"/>
      <c r="H51" s="123"/>
      <c r="I51" s="162">
        <v>680</v>
      </c>
      <c r="J51" s="162">
        <v>11354</v>
      </c>
      <c r="K51" s="309">
        <v>-10674</v>
      </c>
      <c r="L51" s="94">
        <v>-0.9401</v>
      </c>
      <c r="Q51" s="56"/>
      <c r="R51" s="56"/>
      <c r="S51" s="56"/>
      <c r="T51" s="56"/>
    </row>
    <row r="52" spans="1:20" s="55" customFormat="1" ht="11.25">
      <c r="A52" s="189"/>
      <c r="B52" s="183"/>
      <c r="C52" s="185"/>
      <c r="D52" s="185"/>
      <c r="E52" s="185" t="s">
        <v>326</v>
      </c>
      <c r="F52" s="190" t="s">
        <v>148</v>
      </c>
      <c r="G52" s="123">
        <v>0</v>
      </c>
      <c r="H52" s="123">
        <v>0</v>
      </c>
      <c r="I52" s="162">
        <v>0</v>
      </c>
      <c r="J52" s="162">
        <v>0</v>
      </c>
      <c r="K52" s="309">
        <v>0</v>
      </c>
      <c r="L52" s="94" t="s">
        <v>672</v>
      </c>
      <c r="Q52" s="56"/>
      <c r="R52" s="56"/>
      <c r="S52" s="56"/>
      <c r="T52" s="56"/>
    </row>
    <row r="53" spans="1:20" s="55" customFormat="1" ht="11.25">
      <c r="A53" s="189"/>
      <c r="B53" s="183"/>
      <c r="C53" s="185"/>
      <c r="D53" s="185"/>
      <c r="E53" s="185" t="s">
        <v>327</v>
      </c>
      <c r="F53" s="190" t="s">
        <v>149</v>
      </c>
      <c r="G53" s="123">
        <v>680</v>
      </c>
      <c r="H53" s="123">
        <v>0</v>
      </c>
      <c r="I53" s="162">
        <v>680</v>
      </c>
      <c r="J53" s="162">
        <v>11354</v>
      </c>
      <c r="K53" s="309">
        <v>-10674</v>
      </c>
      <c r="L53" s="94">
        <v>-0.9401</v>
      </c>
      <c r="Q53" s="56"/>
      <c r="R53" s="56"/>
      <c r="S53" s="56"/>
      <c r="T53" s="56"/>
    </row>
    <row r="54" spans="1:20" s="55" customFormat="1" ht="11.25">
      <c r="A54" s="189"/>
      <c r="B54" s="183"/>
      <c r="C54" s="185"/>
      <c r="D54" s="191" t="s">
        <v>282</v>
      </c>
      <c r="E54" s="191" t="s">
        <v>150</v>
      </c>
      <c r="F54" s="190"/>
      <c r="G54" s="123">
        <v>0</v>
      </c>
      <c r="H54" s="123">
        <v>1890581</v>
      </c>
      <c r="I54" s="162">
        <v>1890581</v>
      </c>
      <c r="J54" s="162">
        <v>1890581</v>
      </c>
      <c r="K54" s="309">
        <v>0</v>
      </c>
      <c r="L54" s="94">
        <v>0</v>
      </c>
      <c r="Q54" s="56"/>
      <c r="R54" s="56"/>
      <c r="S54" s="56"/>
      <c r="T54" s="56"/>
    </row>
    <row r="55" spans="1:20" s="55" customFormat="1" ht="11.25">
      <c r="A55" s="189"/>
      <c r="B55" s="183"/>
      <c r="C55" s="185"/>
      <c r="D55" s="191" t="s">
        <v>283</v>
      </c>
      <c r="E55" s="191" t="s">
        <v>151</v>
      </c>
      <c r="F55" s="190"/>
      <c r="G55" s="123"/>
      <c r="H55" s="123"/>
      <c r="I55" s="162">
        <v>2990091</v>
      </c>
      <c r="J55" s="162">
        <v>2885429</v>
      </c>
      <c r="K55" s="309">
        <v>104662</v>
      </c>
      <c r="L55" s="94">
        <v>0.0363</v>
      </c>
      <c r="Q55" s="56"/>
      <c r="R55" s="56"/>
      <c r="S55" s="56"/>
      <c r="T55" s="56"/>
    </row>
    <row r="56" spans="1:20" s="55" customFormat="1" ht="11.25">
      <c r="A56" s="189"/>
      <c r="B56" s="183"/>
      <c r="C56" s="185"/>
      <c r="D56" s="185"/>
      <c r="E56" s="185" t="s">
        <v>326</v>
      </c>
      <c r="F56" s="190" t="s">
        <v>153</v>
      </c>
      <c r="G56" s="123">
        <v>751656</v>
      </c>
      <c r="H56" s="123">
        <v>0</v>
      </c>
      <c r="I56" s="162">
        <v>751656</v>
      </c>
      <c r="J56" s="162">
        <v>737922</v>
      </c>
      <c r="K56" s="309">
        <v>13734</v>
      </c>
      <c r="L56" s="94">
        <v>0.0186</v>
      </c>
      <c r="Q56" s="56"/>
      <c r="R56" s="56"/>
      <c r="S56" s="56"/>
      <c r="T56" s="56"/>
    </row>
    <row r="57" spans="1:20" s="55" customFormat="1" ht="11.25">
      <c r="A57" s="189"/>
      <c r="B57" s="183"/>
      <c r="C57" s="185"/>
      <c r="D57" s="185"/>
      <c r="E57" s="185" t="s">
        <v>327</v>
      </c>
      <c r="F57" s="190" t="s">
        <v>154</v>
      </c>
      <c r="G57" s="123">
        <v>0</v>
      </c>
      <c r="H57" s="123">
        <v>0</v>
      </c>
      <c r="I57" s="162">
        <v>0</v>
      </c>
      <c r="J57" s="162">
        <v>0</v>
      </c>
      <c r="K57" s="309">
        <v>0</v>
      </c>
      <c r="L57" s="94" t="s">
        <v>672</v>
      </c>
      <c r="Q57" s="56"/>
      <c r="R57" s="56"/>
      <c r="S57" s="56"/>
      <c r="T57" s="56"/>
    </row>
    <row r="58" spans="1:20" s="55" customFormat="1" ht="11.25">
      <c r="A58" s="189"/>
      <c r="B58" s="183"/>
      <c r="C58" s="185"/>
      <c r="D58" s="185"/>
      <c r="E58" s="185" t="s">
        <v>328</v>
      </c>
      <c r="F58" s="190" t="s">
        <v>152</v>
      </c>
      <c r="G58" s="123">
        <v>294782</v>
      </c>
      <c r="H58" s="123">
        <v>0</v>
      </c>
      <c r="I58" s="162">
        <v>294782</v>
      </c>
      <c r="J58" s="162">
        <v>203854</v>
      </c>
      <c r="K58" s="309">
        <v>90928</v>
      </c>
      <c r="L58" s="94">
        <v>0.446</v>
      </c>
      <c r="Q58" s="56"/>
      <c r="R58" s="56"/>
      <c r="S58" s="56"/>
      <c r="T58" s="56"/>
    </row>
    <row r="59" spans="1:20" s="55" customFormat="1" ht="11.25">
      <c r="A59" s="189"/>
      <c r="B59" s="183"/>
      <c r="C59" s="185"/>
      <c r="D59" s="185"/>
      <c r="E59" s="185" t="s">
        <v>116</v>
      </c>
      <c r="F59" s="190" t="s">
        <v>155</v>
      </c>
      <c r="G59" s="123">
        <v>0</v>
      </c>
      <c r="H59" s="123">
        <v>1943653</v>
      </c>
      <c r="I59" s="162">
        <v>1943653</v>
      </c>
      <c r="J59" s="162">
        <v>1943653</v>
      </c>
      <c r="K59" s="309">
        <v>0</v>
      </c>
      <c r="L59" s="94">
        <v>0</v>
      </c>
      <c r="Q59" s="56"/>
      <c r="R59" s="56"/>
      <c r="S59" s="56"/>
      <c r="T59" s="56"/>
    </row>
    <row r="60" spans="1:20" s="55" customFormat="1" ht="11.25">
      <c r="A60" s="189"/>
      <c r="B60" s="185"/>
      <c r="C60" s="185"/>
      <c r="D60" s="191" t="s">
        <v>284</v>
      </c>
      <c r="E60" s="191" t="s">
        <v>156</v>
      </c>
      <c r="F60" s="192"/>
      <c r="G60" s="123">
        <v>48126</v>
      </c>
      <c r="H60" s="123">
        <v>0</v>
      </c>
      <c r="I60" s="162">
        <v>48126</v>
      </c>
      <c r="J60" s="162">
        <v>76498</v>
      </c>
      <c r="K60" s="309">
        <v>-28372</v>
      </c>
      <c r="L60" s="94">
        <v>-0.3709</v>
      </c>
      <c r="Q60" s="56"/>
      <c r="R60" s="56"/>
      <c r="S60" s="56"/>
      <c r="T60" s="56"/>
    </row>
    <row r="61" spans="1:20" s="55" customFormat="1" ht="11.25">
      <c r="A61" s="189"/>
      <c r="B61" s="185"/>
      <c r="C61" s="185" t="s">
        <v>327</v>
      </c>
      <c r="D61" s="185" t="s">
        <v>157</v>
      </c>
      <c r="E61" s="185"/>
      <c r="F61" s="190"/>
      <c r="G61" s="123"/>
      <c r="H61" s="123"/>
      <c r="I61" s="162">
        <v>20789572</v>
      </c>
      <c r="J61" s="162">
        <v>31395991</v>
      </c>
      <c r="K61" s="309">
        <v>-10606419</v>
      </c>
      <c r="L61" s="94">
        <v>-0.3378</v>
      </c>
      <c r="Q61" s="56"/>
      <c r="R61" s="56"/>
      <c r="S61" s="56"/>
      <c r="T61" s="56"/>
    </row>
    <row r="62" spans="1:20" s="55" customFormat="1" ht="11.25">
      <c r="A62" s="189"/>
      <c r="B62" s="185"/>
      <c r="C62" s="185"/>
      <c r="D62" s="191" t="s">
        <v>281</v>
      </c>
      <c r="E62" s="191" t="s">
        <v>158</v>
      </c>
      <c r="F62" s="192"/>
      <c r="G62" s="123"/>
      <c r="H62" s="123"/>
      <c r="I62" s="162">
        <v>12031876</v>
      </c>
      <c r="J62" s="162">
        <v>22502203</v>
      </c>
      <c r="K62" s="309">
        <v>-10470327</v>
      </c>
      <c r="L62" s="94">
        <v>-0.4653</v>
      </c>
      <c r="Q62" s="56"/>
      <c r="R62" s="56"/>
      <c r="S62" s="56"/>
      <c r="T62" s="56"/>
    </row>
    <row r="63" spans="1:20" s="55" customFormat="1" ht="11.25">
      <c r="A63" s="189"/>
      <c r="B63" s="185"/>
      <c r="C63" s="185"/>
      <c r="D63" s="185"/>
      <c r="E63" s="185" t="s">
        <v>326</v>
      </c>
      <c r="F63" s="192" t="s">
        <v>159</v>
      </c>
      <c r="G63" s="123"/>
      <c r="H63" s="123"/>
      <c r="I63" s="162">
        <v>11795476</v>
      </c>
      <c r="J63" s="162">
        <v>22272203</v>
      </c>
      <c r="K63" s="309">
        <v>-10476727</v>
      </c>
      <c r="L63" s="94">
        <v>-0.4704</v>
      </c>
      <c r="Q63" s="56"/>
      <c r="R63" s="56"/>
      <c r="S63" s="56"/>
      <c r="T63" s="56"/>
    </row>
    <row r="64" spans="1:20" s="55" customFormat="1" ht="22.5">
      <c r="A64" s="189"/>
      <c r="B64" s="185"/>
      <c r="C64" s="185"/>
      <c r="D64" s="185"/>
      <c r="E64" s="185"/>
      <c r="F64" s="193" t="s">
        <v>160</v>
      </c>
      <c r="G64" s="123">
        <v>0</v>
      </c>
      <c r="H64" s="123">
        <v>11135342</v>
      </c>
      <c r="I64" s="162">
        <v>11135342</v>
      </c>
      <c r="J64" s="162">
        <v>21601234</v>
      </c>
      <c r="K64" s="309">
        <v>-10465892</v>
      </c>
      <c r="L64" s="94">
        <v>-0.4845</v>
      </c>
      <c r="Q64" s="56"/>
      <c r="R64" s="56"/>
      <c r="S64" s="56"/>
      <c r="T64" s="56"/>
    </row>
    <row r="65" spans="1:20" s="55" customFormat="1" ht="22.5">
      <c r="A65" s="189"/>
      <c r="B65" s="185"/>
      <c r="C65" s="185"/>
      <c r="D65" s="185"/>
      <c r="E65" s="185"/>
      <c r="F65" s="193" t="s">
        <v>161</v>
      </c>
      <c r="G65" s="123">
        <v>0</v>
      </c>
      <c r="H65" s="123">
        <v>0</v>
      </c>
      <c r="I65" s="162">
        <v>0</v>
      </c>
      <c r="J65" s="162">
        <v>0</v>
      </c>
      <c r="K65" s="309">
        <v>0</v>
      </c>
      <c r="L65" s="94" t="s">
        <v>672</v>
      </c>
      <c r="Q65" s="56"/>
      <c r="R65" s="56"/>
      <c r="S65" s="56"/>
      <c r="T65" s="56"/>
    </row>
    <row r="66" spans="1:20" s="55" customFormat="1" ht="22.5">
      <c r="A66" s="189"/>
      <c r="B66" s="185"/>
      <c r="C66" s="185"/>
      <c r="D66" s="185"/>
      <c r="E66" s="185"/>
      <c r="F66" s="193" t="s">
        <v>162</v>
      </c>
      <c r="G66" s="123">
        <v>0</v>
      </c>
      <c r="H66" s="123">
        <v>0</v>
      </c>
      <c r="I66" s="162">
        <v>0</v>
      </c>
      <c r="J66" s="162">
        <v>0</v>
      </c>
      <c r="K66" s="309">
        <v>0</v>
      </c>
      <c r="L66" s="94" t="s">
        <v>672</v>
      </c>
      <c r="Q66" s="56"/>
      <c r="R66" s="56"/>
      <c r="S66" s="56"/>
      <c r="T66" s="56"/>
    </row>
    <row r="67" spans="1:20" s="55" customFormat="1" ht="11.25">
      <c r="A67" s="189"/>
      <c r="B67" s="185"/>
      <c r="C67" s="185"/>
      <c r="D67" s="185"/>
      <c r="E67" s="185"/>
      <c r="F67" s="194" t="s">
        <v>163</v>
      </c>
      <c r="G67" s="123">
        <v>660134</v>
      </c>
      <c r="H67" s="123">
        <v>0</v>
      </c>
      <c r="I67" s="162">
        <v>660134</v>
      </c>
      <c r="J67" s="162">
        <v>670969</v>
      </c>
      <c r="K67" s="309">
        <v>-10835</v>
      </c>
      <c r="L67" s="94">
        <v>-0.0161</v>
      </c>
      <c r="Q67" s="56"/>
      <c r="R67" s="56"/>
      <c r="S67" s="56"/>
      <c r="T67" s="56"/>
    </row>
    <row r="68" spans="1:20" s="55" customFormat="1" ht="11.25">
      <c r="A68" s="189"/>
      <c r="B68" s="185"/>
      <c r="C68" s="185"/>
      <c r="D68" s="185"/>
      <c r="E68" s="185" t="s">
        <v>327</v>
      </c>
      <c r="F68" s="185" t="s">
        <v>164</v>
      </c>
      <c r="G68" s="123">
        <v>236400</v>
      </c>
      <c r="H68" s="123">
        <v>0</v>
      </c>
      <c r="I68" s="162">
        <v>236400</v>
      </c>
      <c r="J68" s="162">
        <v>230000</v>
      </c>
      <c r="K68" s="309">
        <v>6400</v>
      </c>
      <c r="L68" s="94">
        <v>0.0278</v>
      </c>
      <c r="Q68" s="56"/>
      <c r="R68" s="56"/>
      <c r="S68" s="56"/>
      <c r="T68" s="56"/>
    </row>
    <row r="69" spans="1:20" s="55" customFormat="1" ht="11.25">
      <c r="A69" s="189"/>
      <c r="B69" s="185"/>
      <c r="C69" s="185"/>
      <c r="D69" s="191" t="s">
        <v>282</v>
      </c>
      <c r="E69" s="191" t="s">
        <v>165</v>
      </c>
      <c r="F69" s="192"/>
      <c r="G69" s="123"/>
      <c r="H69" s="123"/>
      <c r="I69" s="162">
        <v>8757696</v>
      </c>
      <c r="J69" s="162">
        <v>8893788</v>
      </c>
      <c r="K69" s="309">
        <v>-136092</v>
      </c>
      <c r="L69" s="94">
        <v>-0.0153</v>
      </c>
      <c r="Q69" s="56"/>
      <c r="R69" s="56"/>
      <c r="S69" s="56"/>
      <c r="T69" s="56"/>
    </row>
    <row r="70" spans="1:20" s="55" customFormat="1" ht="11.25">
      <c r="A70" s="189"/>
      <c r="B70" s="185"/>
      <c r="C70" s="185"/>
      <c r="D70" s="185"/>
      <c r="E70" s="185" t="s">
        <v>326</v>
      </c>
      <c r="F70" s="192" t="s">
        <v>166</v>
      </c>
      <c r="G70" s="123">
        <v>4384069</v>
      </c>
      <c r="H70" s="123">
        <v>4373627</v>
      </c>
      <c r="I70" s="162">
        <v>8757696</v>
      </c>
      <c r="J70" s="162">
        <v>8893788</v>
      </c>
      <c r="K70" s="309">
        <v>-136092</v>
      </c>
      <c r="L70" s="94">
        <v>-0.0153</v>
      </c>
      <c r="Q70" s="56"/>
      <c r="R70" s="56"/>
      <c r="S70" s="56"/>
      <c r="T70" s="56"/>
    </row>
    <row r="71" spans="1:20" s="55" customFormat="1" ht="11.25">
      <c r="A71" s="189"/>
      <c r="B71" s="185"/>
      <c r="C71" s="185"/>
      <c r="D71" s="185"/>
      <c r="E71" s="185" t="s">
        <v>327</v>
      </c>
      <c r="F71" s="192" t="s">
        <v>167</v>
      </c>
      <c r="G71" s="123">
        <v>0</v>
      </c>
      <c r="H71" s="123">
        <v>0</v>
      </c>
      <c r="I71" s="162">
        <v>0</v>
      </c>
      <c r="J71" s="162">
        <v>0</v>
      </c>
      <c r="K71" s="309">
        <v>0</v>
      </c>
      <c r="L71" s="94" t="s">
        <v>672</v>
      </c>
      <c r="Q71" s="56"/>
      <c r="R71" s="56"/>
      <c r="S71" s="56"/>
      <c r="T71" s="56"/>
    </row>
    <row r="72" spans="1:20" s="55" customFormat="1" ht="11.25">
      <c r="A72" s="189"/>
      <c r="B72" s="185"/>
      <c r="C72" s="185"/>
      <c r="D72" s="185"/>
      <c r="E72" s="185" t="s">
        <v>328</v>
      </c>
      <c r="F72" s="192" t="s">
        <v>168</v>
      </c>
      <c r="G72" s="123">
        <v>0</v>
      </c>
      <c r="H72" s="123">
        <v>0</v>
      </c>
      <c r="I72" s="162">
        <v>0</v>
      </c>
      <c r="J72" s="162">
        <v>0</v>
      </c>
      <c r="K72" s="309">
        <v>0</v>
      </c>
      <c r="L72" s="94" t="s">
        <v>672</v>
      </c>
      <c r="Q72" s="56"/>
      <c r="R72" s="56"/>
      <c r="S72" s="56"/>
      <c r="T72" s="56"/>
    </row>
    <row r="73" spans="1:20" s="55" customFormat="1" ht="22.5">
      <c r="A73" s="189"/>
      <c r="B73" s="183"/>
      <c r="C73" s="185"/>
      <c r="D73" s="183"/>
      <c r="E73" s="185" t="s">
        <v>116</v>
      </c>
      <c r="F73" s="195" t="s">
        <v>169</v>
      </c>
      <c r="G73" s="123">
        <v>0</v>
      </c>
      <c r="H73" s="123">
        <v>0</v>
      </c>
      <c r="I73" s="162">
        <v>0</v>
      </c>
      <c r="J73" s="162">
        <v>0</v>
      </c>
      <c r="K73" s="309">
        <v>0</v>
      </c>
      <c r="L73" s="94" t="s">
        <v>672</v>
      </c>
      <c r="Q73" s="56"/>
      <c r="R73" s="56"/>
      <c r="S73" s="56"/>
      <c r="T73" s="56"/>
    </row>
    <row r="74" spans="1:20" s="55" customFormat="1" ht="11.25">
      <c r="A74" s="189"/>
      <c r="B74" s="183"/>
      <c r="C74" s="185" t="s">
        <v>328</v>
      </c>
      <c r="D74" s="185" t="s">
        <v>170</v>
      </c>
      <c r="E74" s="196"/>
      <c r="F74" s="192"/>
      <c r="G74" s="123">
        <v>0</v>
      </c>
      <c r="H74" s="123">
        <v>0</v>
      </c>
      <c r="I74" s="162">
        <v>0</v>
      </c>
      <c r="J74" s="162">
        <v>0</v>
      </c>
      <c r="K74" s="309">
        <v>0</v>
      </c>
      <c r="L74" s="94" t="s">
        <v>672</v>
      </c>
      <c r="Q74" s="56"/>
      <c r="R74" s="56"/>
      <c r="S74" s="56"/>
      <c r="T74" s="56"/>
    </row>
    <row r="75" spans="1:20" s="55" customFormat="1" ht="11.25">
      <c r="A75" s="189"/>
      <c r="B75" s="183"/>
      <c r="C75" s="185" t="s">
        <v>116</v>
      </c>
      <c r="D75" s="185" t="s">
        <v>171</v>
      </c>
      <c r="E75" s="185"/>
      <c r="F75" s="192"/>
      <c r="G75" s="123"/>
      <c r="H75" s="123"/>
      <c r="I75" s="162">
        <v>8000401</v>
      </c>
      <c r="J75" s="162">
        <v>1560376</v>
      </c>
      <c r="K75" s="309">
        <v>6440025</v>
      </c>
      <c r="L75" s="94">
        <v>4.1272</v>
      </c>
      <c r="Q75" s="56"/>
      <c r="R75" s="56"/>
      <c r="S75" s="56"/>
      <c r="T75" s="56"/>
    </row>
    <row r="76" spans="1:20" s="55" customFormat="1" ht="11.25">
      <c r="A76" s="189"/>
      <c r="B76" s="183"/>
      <c r="C76" s="185"/>
      <c r="D76" s="191" t="s">
        <v>281</v>
      </c>
      <c r="E76" s="191" t="s">
        <v>172</v>
      </c>
      <c r="F76" s="192"/>
      <c r="G76" s="123">
        <v>7890386</v>
      </c>
      <c r="H76" s="123">
        <v>0</v>
      </c>
      <c r="I76" s="162">
        <v>7890386</v>
      </c>
      <c r="J76" s="162">
        <v>1378094</v>
      </c>
      <c r="K76" s="309">
        <v>6512292</v>
      </c>
      <c r="L76" s="94">
        <v>4.7256</v>
      </c>
      <c r="Q76" s="56"/>
      <c r="R76" s="56"/>
      <c r="S76" s="56"/>
      <c r="T76" s="56"/>
    </row>
    <row r="77" spans="1:20" s="55" customFormat="1" ht="11.25">
      <c r="A77" s="189"/>
      <c r="B77" s="183"/>
      <c r="C77" s="185"/>
      <c r="D77" s="191" t="s">
        <v>282</v>
      </c>
      <c r="E77" s="191" t="s">
        <v>173</v>
      </c>
      <c r="F77" s="192"/>
      <c r="G77" s="123">
        <v>110015</v>
      </c>
      <c r="H77" s="123">
        <v>0</v>
      </c>
      <c r="I77" s="162">
        <v>110015</v>
      </c>
      <c r="J77" s="162">
        <v>182282</v>
      </c>
      <c r="K77" s="309">
        <v>-72267</v>
      </c>
      <c r="L77" s="94">
        <v>-0.3965</v>
      </c>
      <c r="Q77" s="56"/>
      <c r="R77" s="56"/>
      <c r="S77" s="56"/>
      <c r="T77" s="56"/>
    </row>
    <row r="78" spans="1:20" s="55" customFormat="1" ht="11.25">
      <c r="A78" s="189"/>
      <c r="B78" s="183"/>
      <c r="C78" s="185" t="s">
        <v>117</v>
      </c>
      <c r="D78" s="185" t="s">
        <v>174</v>
      </c>
      <c r="E78" s="185"/>
      <c r="F78" s="192"/>
      <c r="G78" s="123">
        <v>282693</v>
      </c>
      <c r="H78" s="123">
        <v>0</v>
      </c>
      <c r="I78" s="162">
        <v>282693</v>
      </c>
      <c r="J78" s="162">
        <v>0</v>
      </c>
      <c r="K78" s="309">
        <v>282693</v>
      </c>
      <c r="L78" s="94" t="s">
        <v>672</v>
      </c>
      <c r="Q78" s="56"/>
      <c r="R78" s="56"/>
      <c r="S78" s="56"/>
      <c r="T78" s="56"/>
    </row>
    <row r="79" spans="1:20" s="55" customFormat="1" ht="11.25">
      <c r="A79" s="189"/>
      <c r="B79" s="183"/>
      <c r="C79" s="185" t="s">
        <v>126</v>
      </c>
      <c r="D79" s="185" t="s">
        <v>175</v>
      </c>
      <c r="E79" s="185"/>
      <c r="F79" s="192"/>
      <c r="G79" s="123">
        <v>870</v>
      </c>
      <c r="H79" s="123">
        <v>0</v>
      </c>
      <c r="I79" s="162">
        <v>870</v>
      </c>
      <c r="J79" s="162">
        <v>453</v>
      </c>
      <c r="K79" s="309">
        <v>417</v>
      </c>
      <c r="L79" s="94">
        <v>0.9205</v>
      </c>
      <c r="Q79" s="56"/>
      <c r="R79" s="56"/>
      <c r="S79" s="56"/>
      <c r="T79" s="56"/>
    </row>
    <row r="80" spans="1:20" s="55" customFormat="1" ht="11.25">
      <c r="A80" s="189"/>
      <c r="B80" s="183"/>
      <c r="C80" s="185" t="s">
        <v>127</v>
      </c>
      <c r="D80" s="185" t="s">
        <v>176</v>
      </c>
      <c r="E80" s="185"/>
      <c r="F80" s="192"/>
      <c r="G80" s="301">
        <v>3090057</v>
      </c>
      <c r="H80" s="124">
        <v>651103</v>
      </c>
      <c r="I80" s="162">
        <v>3741160</v>
      </c>
      <c r="J80" s="162">
        <v>2740607</v>
      </c>
      <c r="K80" s="309">
        <v>1000553</v>
      </c>
      <c r="L80" s="94">
        <v>0.3651</v>
      </c>
      <c r="Q80" s="56"/>
      <c r="R80" s="56"/>
      <c r="S80" s="56"/>
      <c r="T80" s="56"/>
    </row>
    <row r="81" spans="1:20" s="55" customFormat="1" ht="11.25">
      <c r="A81" s="197"/>
      <c r="B81" s="185" t="s">
        <v>133</v>
      </c>
      <c r="C81" s="192" t="s">
        <v>241</v>
      </c>
      <c r="D81" s="185"/>
      <c r="E81" s="185"/>
      <c r="F81" s="192"/>
      <c r="G81" s="185"/>
      <c r="H81" s="185"/>
      <c r="I81" s="162">
        <v>0</v>
      </c>
      <c r="J81" s="162">
        <v>0</v>
      </c>
      <c r="K81" s="309">
        <v>0</v>
      </c>
      <c r="L81" s="94" t="s">
        <v>672</v>
      </c>
      <c r="Q81" s="56"/>
      <c r="R81" s="56"/>
      <c r="S81" s="56"/>
      <c r="T81" s="56"/>
    </row>
    <row r="82" spans="1:20" s="55" customFormat="1" ht="11.25">
      <c r="A82" s="189"/>
      <c r="B82" s="183"/>
      <c r="C82" s="185" t="s">
        <v>326</v>
      </c>
      <c r="D82" s="185" t="s">
        <v>177</v>
      </c>
      <c r="E82" s="183"/>
      <c r="F82" s="196"/>
      <c r="G82" s="185"/>
      <c r="H82" s="185"/>
      <c r="I82" s="162">
        <v>0</v>
      </c>
      <c r="J82" s="162">
        <v>0</v>
      </c>
      <c r="K82" s="309">
        <v>0</v>
      </c>
      <c r="L82" s="94" t="s">
        <v>672</v>
      </c>
      <c r="Q82" s="56"/>
      <c r="R82" s="56"/>
      <c r="S82" s="56"/>
      <c r="T82" s="56"/>
    </row>
    <row r="83" spans="1:20" s="55" customFormat="1" ht="11.25">
      <c r="A83" s="181"/>
      <c r="B83" s="183"/>
      <c r="C83" s="185" t="s">
        <v>327</v>
      </c>
      <c r="D83" s="185" t="s">
        <v>178</v>
      </c>
      <c r="E83" s="183"/>
      <c r="F83" s="194"/>
      <c r="G83" s="185"/>
      <c r="H83" s="185"/>
      <c r="I83" s="162">
        <v>0</v>
      </c>
      <c r="J83" s="162">
        <v>0</v>
      </c>
      <c r="K83" s="309">
        <v>0</v>
      </c>
      <c r="L83" s="94" t="s">
        <v>672</v>
      </c>
      <c r="Q83" s="56"/>
      <c r="R83" s="56"/>
      <c r="S83" s="56"/>
      <c r="T83" s="56"/>
    </row>
    <row r="84" spans="1:20" s="129" customFormat="1" ht="10.5">
      <c r="A84" s="188"/>
      <c r="B84" s="183" t="s">
        <v>179</v>
      </c>
      <c r="C84" s="198" t="s">
        <v>242</v>
      </c>
      <c r="D84" s="183"/>
      <c r="E84" s="183"/>
      <c r="F84" s="199"/>
      <c r="G84" s="183"/>
      <c r="H84" s="183"/>
      <c r="I84" s="200">
        <v>40864020</v>
      </c>
      <c r="J84" s="200">
        <v>35829465</v>
      </c>
      <c r="K84" s="314">
        <v>5034555</v>
      </c>
      <c r="L84" s="112">
        <v>0.1405</v>
      </c>
      <c r="Q84" s="130"/>
      <c r="R84" s="130"/>
      <c r="S84" s="130"/>
      <c r="T84" s="130"/>
    </row>
    <row r="85" spans="1:20" s="55" customFormat="1" ht="11.25">
      <c r="A85" s="181"/>
      <c r="B85" s="183"/>
      <c r="C85" s="183" t="s">
        <v>326</v>
      </c>
      <c r="D85" s="192" t="s">
        <v>243</v>
      </c>
      <c r="E85" s="183"/>
      <c r="F85" s="192"/>
      <c r="G85" s="185"/>
      <c r="H85" s="185"/>
      <c r="I85" s="162">
        <v>62463</v>
      </c>
      <c r="J85" s="162">
        <v>50046</v>
      </c>
      <c r="K85" s="309">
        <v>12417</v>
      </c>
      <c r="L85" s="94">
        <v>0.2481</v>
      </c>
      <c r="Q85" s="56"/>
      <c r="R85" s="56"/>
      <c r="S85" s="56"/>
      <c r="T85" s="56"/>
    </row>
    <row r="86" spans="1:20" s="55" customFormat="1" ht="11.25">
      <c r="A86" s="189"/>
      <c r="B86" s="183"/>
      <c r="C86" s="183" t="s">
        <v>327</v>
      </c>
      <c r="D86" s="192" t="s">
        <v>180</v>
      </c>
      <c r="E86" s="183"/>
      <c r="F86" s="196"/>
      <c r="G86" s="185"/>
      <c r="H86" s="185"/>
      <c r="I86" s="162">
        <v>40780976</v>
      </c>
      <c r="J86" s="162">
        <v>35757654</v>
      </c>
      <c r="K86" s="309">
        <v>5023322</v>
      </c>
      <c r="L86" s="94">
        <v>0.1405</v>
      </c>
      <c r="Q86" s="56"/>
      <c r="R86" s="56"/>
      <c r="S86" s="56"/>
      <c r="T86" s="56"/>
    </row>
    <row r="87" spans="1:20" s="55" customFormat="1" ht="11.25">
      <c r="A87" s="189"/>
      <c r="B87" s="183"/>
      <c r="C87" s="183" t="s">
        <v>328</v>
      </c>
      <c r="D87" s="192" t="s">
        <v>181</v>
      </c>
      <c r="E87" s="183"/>
      <c r="F87" s="196"/>
      <c r="G87" s="185"/>
      <c r="H87" s="185"/>
      <c r="I87" s="162">
        <v>0</v>
      </c>
      <c r="J87" s="162">
        <v>0</v>
      </c>
      <c r="K87" s="309">
        <v>0</v>
      </c>
      <c r="L87" s="94" t="s">
        <v>672</v>
      </c>
      <c r="Q87" s="56"/>
      <c r="R87" s="56"/>
      <c r="S87" s="56"/>
      <c r="T87" s="56"/>
    </row>
    <row r="88" spans="1:20" s="55" customFormat="1" ht="11.25">
      <c r="A88" s="189"/>
      <c r="B88" s="183"/>
      <c r="C88" s="183" t="s">
        <v>116</v>
      </c>
      <c r="D88" s="192" t="s">
        <v>182</v>
      </c>
      <c r="E88" s="183"/>
      <c r="F88" s="196"/>
      <c r="G88" s="185"/>
      <c r="H88" s="185"/>
      <c r="I88" s="162">
        <v>20581</v>
      </c>
      <c r="J88" s="162">
        <v>21765</v>
      </c>
      <c r="K88" s="311">
        <v>-1184</v>
      </c>
      <c r="L88" s="248">
        <v>-0.0544</v>
      </c>
      <c r="Q88" s="56"/>
      <c r="R88" s="56"/>
      <c r="S88" s="56"/>
      <c r="T88" s="56"/>
    </row>
    <row r="89" spans="1:20" s="129" customFormat="1" ht="10.5">
      <c r="A89" s="382" t="s">
        <v>183</v>
      </c>
      <c r="B89" s="383"/>
      <c r="C89" s="383"/>
      <c r="D89" s="383"/>
      <c r="E89" s="383"/>
      <c r="F89" s="383"/>
      <c r="G89" s="390"/>
      <c r="H89" s="383"/>
      <c r="I89" s="178">
        <v>80408175</v>
      </c>
      <c r="J89" s="178">
        <v>78416543</v>
      </c>
      <c r="K89" s="304">
        <v>1991632</v>
      </c>
      <c r="L89" s="104">
        <v>0.0254</v>
      </c>
      <c r="Q89" s="130"/>
      <c r="R89" s="130"/>
      <c r="S89" s="130"/>
      <c r="T89" s="130"/>
    </row>
    <row r="90" spans="1:20" s="129" customFormat="1" ht="10.5">
      <c r="A90" s="181" t="s">
        <v>207</v>
      </c>
      <c r="B90" s="182" t="s">
        <v>184</v>
      </c>
      <c r="C90" s="183"/>
      <c r="D90" s="183"/>
      <c r="E90" s="183"/>
      <c r="F90" s="199"/>
      <c r="G90" s="201"/>
      <c r="H90" s="202"/>
      <c r="I90" s="156"/>
      <c r="J90" s="156"/>
      <c r="K90" s="303"/>
      <c r="L90" s="102"/>
      <c r="Q90" s="130"/>
      <c r="R90" s="130"/>
      <c r="S90" s="130"/>
      <c r="T90" s="130"/>
    </row>
    <row r="91" spans="1:20" s="129" customFormat="1" ht="10.5">
      <c r="A91" s="181"/>
      <c r="B91" s="183" t="s">
        <v>115</v>
      </c>
      <c r="C91" s="182" t="s">
        <v>227</v>
      </c>
      <c r="D91" s="183"/>
      <c r="E91" s="183"/>
      <c r="F91" s="198"/>
      <c r="G91" s="183"/>
      <c r="H91" s="202"/>
      <c r="I91" s="156">
        <v>0</v>
      </c>
      <c r="J91" s="156">
        <v>0</v>
      </c>
      <c r="K91" s="303">
        <v>0</v>
      </c>
      <c r="L91" s="102" t="s">
        <v>672</v>
      </c>
      <c r="Q91" s="130"/>
      <c r="R91" s="130"/>
      <c r="S91" s="130"/>
      <c r="T91" s="130"/>
    </row>
    <row r="92" spans="1:20" s="129" customFormat="1" ht="10.5">
      <c r="A92" s="181"/>
      <c r="B92" s="183" t="s">
        <v>122</v>
      </c>
      <c r="C92" s="182" t="s">
        <v>228</v>
      </c>
      <c r="D92" s="183"/>
      <c r="E92" s="183"/>
      <c r="F92" s="199"/>
      <c r="G92" s="203"/>
      <c r="H92" s="202"/>
      <c r="I92" s="156">
        <v>70607</v>
      </c>
      <c r="J92" s="156">
        <v>106986</v>
      </c>
      <c r="K92" s="303">
        <v>-36379</v>
      </c>
      <c r="L92" s="102">
        <v>-0.34</v>
      </c>
      <c r="Q92" s="130"/>
      <c r="R92" s="130"/>
      <c r="S92" s="130"/>
      <c r="T92" s="130"/>
    </row>
    <row r="93" spans="1:20" s="129" customFormat="1" ht="10.5">
      <c r="A93" s="382" t="s">
        <v>186</v>
      </c>
      <c r="B93" s="383"/>
      <c r="C93" s="383"/>
      <c r="D93" s="383"/>
      <c r="E93" s="383"/>
      <c r="F93" s="383"/>
      <c r="G93" s="385"/>
      <c r="H93" s="383"/>
      <c r="I93" s="178">
        <v>70607</v>
      </c>
      <c r="J93" s="178">
        <v>106986</v>
      </c>
      <c r="K93" s="304">
        <v>-36379</v>
      </c>
      <c r="L93" s="104">
        <v>-0.34</v>
      </c>
      <c r="Q93" s="130"/>
      <c r="R93" s="130"/>
      <c r="S93" s="130"/>
      <c r="T93" s="130"/>
    </row>
    <row r="94" spans="1:20" s="134" customFormat="1" ht="5.25" customHeight="1" thickBot="1">
      <c r="A94" s="204"/>
      <c r="B94" s="198"/>
      <c r="C94" s="198"/>
      <c r="D94" s="198"/>
      <c r="E94" s="198"/>
      <c r="F94" s="198"/>
      <c r="G94" s="198"/>
      <c r="H94" s="198"/>
      <c r="I94" s="205"/>
      <c r="J94" s="205"/>
      <c r="K94" s="315"/>
      <c r="L94" s="251"/>
      <c r="Q94" s="135"/>
      <c r="R94" s="135"/>
      <c r="S94" s="135"/>
      <c r="T94" s="135"/>
    </row>
    <row r="95" spans="1:20" s="129" customFormat="1" ht="11.25" thickBot="1">
      <c r="A95" s="374" t="s">
        <v>185</v>
      </c>
      <c r="B95" s="375"/>
      <c r="C95" s="375"/>
      <c r="D95" s="375"/>
      <c r="E95" s="375"/>
      <c r="F95" s="375"/>
      <c r="G95" s="375"/>
      <c r="H95" s="375"/>
      <c r="I95" s="206">
        <v>139228008</v>
      </c>
      <c r="J95" s="206">
        <v>135915700</v>
      </c>
      <c r="K95" s="316">
        <v>3312308</v>
      </c>
      <c r="L95" s="252">
        <v>0.0244</v>
      </c>
      <c r="Q95" s="130"/>
      <c r="R95" s="130"/>
      <c r="S95" s="130"/>
      <c r="T95" s="130"/>
    </row>
    <row r="96" spans="1:20" s="136" customFormat="1" ht="10.5">
      <c r="A96" s="181" t="s">
        <v>210</v>
      </c>
      <c r="B96" s="182" t="s">
        <v>187</v>
      </c>
      <c r="C96" s="183"/>
      <c r="D96" s="183"/>
      <c r="E96" s="183"/>
      <c r="F96" s="199"/>
      <c r="G96" s="183"/>
      <c r="H96" s="202"/>
      <c r="I96" s="156"/>
      <c r="J96" s="156"/>
      <c r="K96" s="303"/>
      <c r="L96" s="102"/>
      <c r="Q96" s="137"/>
      <c r="R96" s="137"/>
      <c r="S96" s="137"/>
      <c r="T96" s="137"/>
    </row>
    <row r="97" spans="1:20" s="136" customFormat="1" ht="10.5">
      <c r="A97" s="181"/>
      <c r="B97" s="183" t="s">
        <v>260</v>
      </c>
      <c r="C97" s="182" t="s">
        <v>188</v>
      </c>
      <c r="D97" s="183"/>
      <c r="E97" s="183"/>
      <c r="F97" s="198"/>
      <c r="G97" s="183"/>
      <c r="H97" s="202"/>
      <c r="I97" s="156">
        <v>182802</v>
      </c>
      <c r="J97" s="156">
        <v>301856</v>
      </c>
      <c r="K97" s="303">
        <v>-119054</v>
      </c>
      <c r="L97" s="102">
        <v>-0.3944</v>
      </c>
      <c r="Q97" s="137"/>
      <c r="R97" s="137"/>
      <c r="S97" s="137"/>
      <c r="T97" s="137"/>
    </row>
    <row r="98" spans="1:20" s="136" customFormat="1" ht="10.5">
      <c r="A98" s="181"/>
      <c r="B98" s="183" t="s">
        <v>327</v>
      </c>
      <c r="C98" s="198" t="s">
        <v>226</v>
      </c>
      <c r="D98" s="183"/>
      <c r="E98" s="183"/>
      <c r="F98" s="199"/>
      <c r="G98" s="183"/>
      <c r="H98" s="202"/>
      <c r="I98" s="156">
        <v>0</v>
      </c>
      <c r="J98" s="156">
        <v>0</v>
      </c>
      <c r="K98" s="303">
        <v>0</v>
      </c>
      <c r="L98" s="102" t="s">
        <v>672</v>
      </c>
      <c r="Q98" s="137"/>
      <c r="R98" s="137"/>
      <c r="S98" s="137"/>
      <c r="T98" s="137"/>
    </row>
    <row r="99" spans="1:20" s="136" customFormat="1" ht="10.5">
      <c r="A99" s="181"/>
      <c r="B99" s="198" t="s">
        <v>328</v>
      </c>
      <c r="C99" s="183" t="s">
        <v>189</v>
      </c>
      <c r="D99" s="183"/>
      <c r="E99" s="183"/>
      <c r="F99" s="199"/>
      <c r="G99" s="183"/>
      <c r="H99" s="202"/>
      <c r="I99" s="156">
        <v>85496</v>
      </c>
      <c r="J99" s="156">
        <v>85496</v>
      </c>
      <c r="K99" s="303">
        <v>0</v>
      </c>
      <c r="L99" s="102">
        <v>0</v>
      </c>
      <c r="Q99" s="137"/>
      <c r="R99" s="137"/>
      <c r="S99" s="137"/>
      <c r="T99" s="137"/>
    </row>
    <row r="100" spans="1:20" s="136" customFormat="1" ht="10.5">
      <c r="A100" s="181"/>
      <c r="B100" s="183" t="s">
        <v>116</v>
      </c>
      <c r="C100" s="182" t="s">
        <v>190</v>
      </c>
      <c r="D100" s="183"/>
      <c r="E100" s="183"/>
      <c r="F100" s="198"/>
      <c r="G100" s="203"/>
      <c r="H100" s="202"/>
      <c r="I100" s="156">
        <v>16127491</v>
      </c>
      <c r="J100" s="156">
        <v>16407971</v>
      </c>
      <c r="K100" s="303">
        <v>-280480</v>
      </c>
      <c r="L100" s="102">
        <v>-0.0171</v>
      </c>
      <c r="Q100" s="137"/>
      <c r="R100" s="137"/>
      <c r="S100" s="137"/>
      <c r="T100" s="137"/>
    </row>
    <row r="101" spans="1:20" s="129" customFormat="1" ht="11.25" thickBot="1">
      <c r="A101" s="377" t="s">
        <v>191</v>
      </c>
      <c r="B101" s="378"/>
      <c r="C101" s="378"/>
      <c r="D101" s="378"/>
      <c r="E101" s="378"/>
      <c r="F101" s="378"/>
      <c r="G101" s="379"/>
      <c r="H101" s="380"/>
      <c r="I101" s="207">
        <v>16395789</v>
      </c>
      <c r="J101" s="207">
        <v>16795323</v>
      </c>
      <c r="K101" s="317">
        <v>-399534</v>
      </c>
      <c r="L101" s="253">
        <v>-0.0238</v>
      </c>
      <c r="Q101" s="130"/>
      <c r="R101" s="130"/>
      <c r="S101" s="130"/>
      <c r="T101" s="130"/>
    </row>
    <row r="102" spans="1:20" s="60" customFormat="1" ht="11.25">
      <c r="A102" s="179"/>
      <c r="B102" s="179"/>
      <c r="C102" s="179"/>
      <c r="D102" s="179"/>
      <c r="E102" s="179"/>
      <c r="F102" s="179"/>
      <c r="G102" s="179"/>
      <c r="H102" s="179"/>
      <c r="I102" s="208"/>
      <c r="J102" s="208"/>
      <c r="K102" s="318"/>
      <c r="L102" s="90"/>
      <c r="Q102" s="61"/>
      <c r="R102" s="61"/>
      <c r="S102" s="61"/>
      <c r="T102" s="61"/>
    </row>
    <row r="103" spans="1:20" s="60" customFormat="1" ht="11.25">
      <c r="A103" s="179"/>
      <c r="B103" s="179"/>
      <c r="C103" s="179"/>
      <c r="D103" s="179"/>
      <c r="E103" s="179"/>
      <c r="F103" s="179"/>
      <c r="G103" s="179"/>
      <c r="H103" s="179"/>
      <c r="I103" s="208"/>
      <c r="J103" s="208"/>
      <c r="K103" s="318"/>
      <c r="L103" s="90"/>
      <c r="Q103" s="61"/>
      <c r="R103" s="61"/>
      <c r="S103" s="61"/>
      <c r="T103" s="61"/>
    </row>
    <row r="104" spans="1:20" s="58" customFormat="1" ht="12" thickBot="1">
      <c r="A104" s="209"/>
      <c r="B104" s="209"/>
      <c r="C104" s="209"/>
      <c r="D104" s="209"/>
      <c r="E104" s="209"/>
      <c r="F104" s="210"/>
      <c r="G104" s="211"/>
      <c r="H104" s="211"/>
      <c r="I104" s="212"/>
      <c r="J104" s="211"/>
      <c r="K104" s="319"/>
      <c r="L104" s="254"/>
      <c r="Q104" s="56"/>
      <c r="R104" s="56"/>
      <c r="S104" s="56"/>
      <c r="T104" s="56"/>
    </row>
    <row r="105" spans="1:12" ht="36" customHeight="1" thickBot="1">
      <c r="A105" s="372" t="s">
        <v>192</v>
      </c>
      <c r="B105" s="373"/>
      <c r="C105" s="373"/>
      <c r="D105" s="373"/>
      <c r="E105" s="373"/>
      <c r="F105" s="373"/>
      <c r="G105" s="373"/>
      <c r="H105" s="373"/>
      <c r="I105" s="373"/>
      <c r="J105" s="373"/>
      <c r="K105" s="367" t="s">
        <v>114</v>
      </c>
      <c r="L105" s="368"/>
    </row>
    <row r="106" spans="1:12" ht="13.5" thickBot="1">
      <c r="A106" s="213"/>
      <c r="B106" s="213"/>
      <c r="C106" s="213"/>
      <c r="D106" s="213"/>
      <c r="E106" s="213"/>
      <c r="F106" s="214"/>
      <c r="G106" s="211"/>
      <c r="H106" s="211"/>
      <c r="I106" s="215"/>
      <c r="J106" s="216"/>
      <c r="K106" s="320"/>
      <c r="L106" s="114"/>
    </row>
    <row r="107" spans="1:12" ht="12.75" customHeight="1">
      <c r="A107" s="358" t="s">
        <v>669</v>
      </c>
      <c r="B107" s="359"/>
      <c r="C107" s="359"/>
      <c r="D107" s="359"/>
      <c r="E107" s="359"/>
      <c r="F107" s="359"/>
      <c r="G107" s="359"/>
      <c r="H107" s="359"/>
      <c r="I107" s="363" t="s">
        <v>644</v>
      </c>
      <c r="J107" s="363" t="s">
        <v>645</v>
      </c>
      <c r="K107" s="363" t="s">
        <v>646</v>
      </c>
      <c r="L107" s="369"/>
    </row>
    <row r="108" spans="1:12" s="21" customFormat="1" ht="39.75" customHeight="1">
      <c r="A108" s="360"/>
      <c r="B108" s="361"/>
      <c r="C108" s="361"/>
      <c r="D108" s="361"/>
      <c r="E108" s="361"/>
      <c r="F108" s="361"/>
      <c r="G108" s="362"/>
      <c r="H108" s="361"/>
      <c r="I108" s="364"/>
      <c r="J108" s="364"/>
      <c r="K108" s="321" t="s">
        <v>258</v>
      </c>
      <c r="L108" s="91" t="s">
        <v>259</v>
      </c>
    </row>
    <row r="109" spans="1:20" s="55" customFormat="1" ht="11.25">
      <c r="A109" s="218"/>
      <c r="B109" s="219"/>
      <c r="C109" s="219"/>
      <c r="D109" s="219"/>
      <c r="E109" s="219"/>
      <c r="F109" s="220"/>
      <c r="G109" s="221"/>
      <c r="H109" s="222"/>
      <c r="I109" s="223"/>
      <c r="J109" s="224"/>
      <c r="K109" s="322"/>
      <c r="L109" s="255"/>
      <c r="Q109" s="56"/>
      <c r="R109" s="56"/>
      <c r="S109" s="56"/>
      <c r="T109" s="56"/>
    </row>
    <row r="110" spans="1:20" s="129" customFormat="1" ht="10.5">
      <c r="A110" s="157" t="s">
        <v>198</v>
      </c>
      <c r="B110" s="225" t="s">
        <v>229</v>
      </c>
      <c r="C110" s="151"/>
      <c r="D110" s="151"/>
      <c r="E110" s="151"/>
      <c r="F110" s="153"/>
      <c r="G110" s="154"/>
      <c r="H110" s="139"/>
      <c r="I110" s="156"/>
      <c r="J110" s="138"/>
      <c r="K110" s="323"/>
      <c r="L110" s="256"/>
      <c r="Q110" s="130"/>
      <c r="R110" s="130"/>
      <c r="S110" s="130"/>
      <c r="T110" s="130"/>
    </row>
    <row r="111" spans="1:20" s="129" customFormat="1" ht="10.5">
      <c r="A111" s="157"/>
      <c r="B111" s="151"/>
      <c r="C111" s="151"/>
      <c r="D111" s="151"/>
      <c r="E111" s="151"/>
      <c r="F111" s="179"/>
      <c r="G111" s="154"/>
      <c r="H111" s="139"/>
      <c r="I111" s="156"/>
      <c r="J111" s="138"/>
      <c r="K111" s="323"/>
      <c r="L111" s="256"/>
      <c r="Q111" s="130"/>
      <c r="R111" s="130"/>
      <c r="S111" s="130"/>
      <c r="T111" s="130"/>
    </row>
    <row r="112" spans="1:20" s="129" customFormat="1" ht="11.25">
      <c r="A112" s="150"/>
      <c r="B112" s="151" t="s">
        <v>115</v>
      </c>
      <c r="C112" s="152" t="s">
        <v>230</v>
      </c>
      <c r="D112" s="151"/>
      <c r="E112" s="151"/>
      <c r="F112" s="153"/>
      <c r="G112" s="154"/>
      <c r="H112" s="139"/>
      <c r="I112" s="156">
        <v>762659</v>
      </c>
      <c r="J112" s="156">
        <v>5061869</v>
      </c>
      <c r="K112" s="303">
        <v>-4299210</v>
      </c>
      <c r="L112" s="102">
        <v>-0.8493</v>
      </c>
      <c r="N112" s="268"/>
      <c r="Q112" s="130"/>
      <c r="R112" s="130"/>
      <c r="S112" s="130"/>
      <c r="T112" s="130"/>
    </row>
    <row r="113" spans="1:20" s="129" customFormat="1" ht="11.25">
      <c r="A113" s="150"/>
      <c r="B113" s="151" t="s">
        <v>122</v>
      </c>
      <c r="C113" s="226" t="s">
        <v>330</v>
      </c>
      <c r="D113" s="151"/>
      <c r="E113" s="151"/>
      <c r="F113" s="152"/>
      <c r="G113" s="154"/>
      <c r="H113" s="139"/>
      <c r="I113" s="156">
        <v>69581339</v>
      </c>
      <c r="J113" s="156">
        <v>69742347</v>
      </c>
      <c r="K113" s="303">
        <v>-161008</v>
      </c>
      <c r="L113" s="102">
        <v>-0.0023</v>
      </c>
      <c r="Q113" s="130"/>
      <c r="R113" s="130"/>
      <c r="S113" s="130"/>
      <c r="T113" s="130"/>
    </row>
    <row r="114" spans="1:20" s="55" customFormat="1" ht="11.25">
      <c r="A114" s="163"/>
      <c r="B114" s="151"/>
      <c r="C114" s="185" t="s">
        <v>326</v>
      </c>
      <c r="D114" s="185" t="s">
        <v>331</v>
      </c>
      <c r="E114" s="183"/>
      <c r="F114" s="160"/>
      <c r="G114" s="121"/>
      <c r="H114" s="227"/>
      <c r="I114" s="162">
        <v>21619497</v>
      </c>
      <c r="J114" s="162">
        <v>22644589</v>
      </c>
      <c r="K114" s="309">
        <v>-1025092</v>
      </c>
      <c r="L114" s="94">
        <v>-0.0453</v>
      </c>
      <c r="Q114" s="56"/>
      <c r="R114" s="56"/>
      <c r="S114" s="56"/>
      <c r="T114" s="56"/>
    </row>
    <row r="115" spans="1:20" s="55" customFormat="1" ht="11.25">
      <c r="A115" s="163"/>
      <c r="B115" s="151"/>
      <c r="C115" s="185" t="s">
        <v>327</v>
      </c>
      <c r="D115" s="185" t="s">
        <v>332</v>
      </c>
      <c r="E115" s="183"/>
      <c r="F115" s="160"/>
      <c r="G115" s="121"/>
      <c r="H115" s="227"/>
      <c r="I115" s="162">
        <v>14245435</v>
      </c>
      <c r="J115" s="162">
        <v>16338926</v>
      </c>
      <c r="K115" s="309">
        <v>-2093491</v>
      </c>
      <c r="L115" s="94">
        <v>-0.1281</v>
      </c>
      <c r="Q115" s="56"/>
      <c r="R115" s="56"/>
      <c r="S115" s="56"/>
      <c r="T115" s="56"/>
    </row>
    <row r="116" spans="1:20" s="55" customFormat="1" ht="11.25">
      <c r="A116" s="189"/>
      <c r="B116" s="183"/>
      <c r="C116" s="185"/>
      <c r="D116" s="191" t="s">
        <v>333</v>
      </c>
      <c r="E116" s="191" t="s">
        <v>334</v>
      </c>
      <c r="F116" s="192"/>
      <c r="G116" s="185"/>
      <c r="H116" s="185"/>
      <c r="I116" s="162">
        <v>0</v>
      </c>
      <c r="J116" s="162">
        <v>0</v>
      </c>
      <c r="K116" s="309">
        <v>0</v>
      </c>
      <c r="L116" s="94" t="s">
        <v>672</v>
      </c>
      <c r="Q116" s="56"/>
      <c r="R116" s="56"/>
      <c r="S116" s="56"/>
      <c r="T116" s="56"/>
    </row>
    <row r="117" spans="1:20" s="55" customFormat="1" ht="11.25">
      <c r="A117" s="189"/>
      <c r="B117" s="183"/>
      <c r="C117" s="185"/>
      <c r="D117" s="191" t="s">
        <v>282</v>
      </c>
      <c r="E117" s="191" t="s">
        <v>337</v>
      </c>
      <c r="F117" s="192"/>
      <c r="G117" s="185"/>
      <c r="H117" s="185"/>
      <c r="I117" s="162">
        <v>1643653</v>
      </c>
      <c r="J117" s="162">
        <v>1643653</v>
      </c>
      <c r="K117" s="309">
        <v>0</v>
      </c>
      <c r="L117" s="94">
        <v>0</v>
      </c>
      <c r="Q117" s="56"/>
      <c r="R117" s="56"/>
      <c r="S117" s="56"/>
      <c r="T117" s="56"/>
    </row>
    <row r="118" spans="1:20" s="55" customFormat="1" ht="11.25">
      <c r="A118" s="189"/>
      <c r="B118" s="183"/>
      <c r="C118" s="185"/>
      <c r="D118" s="191" t="s">
        <v>335</v>
      </c>
      <c r="E118" s="191" t="s">
        <v>336</v>
      </c>
      <c r="F118" s="192"/>
      <c r="G118" s="185"/>
      <c r="H118" s="185"/>
      <c r="I118" s="162">
        <v>12601782</v>
      </c>
      <c r="J118" s="162">
        <v>14695273</v>
      </c>
      <c r="K118" s="309">
        <v>-2093491</v>
      </c>
      <c r="L118" s="94">
        <v>-0.1425</v>
      </c>
      <c r="Q118" s="56"/>
      <c r="R118" s="56"/>
      <c r="S118" s="56"/>
      <c r="T118" s="56"/>
    </row>
    <row r="119" spans="1:20" s="55" customFormat="1" ht="11.25">
      <c r="A119" s="189"/>
      <c r="B119" s="183"/>
      <c r="C119" s="166" t="s">
        <v>328</v>
      </c>
      <c r="D119" s="166" t="s">
        <v>338</v>
      </c>
      <c r="E119" s="185"/>
      <c r="F119" s="192"/>
      <c r="G119" s="185"/>
      <c r="H119" s="185"/>
      <c r="I119" s="162">
        <v>33701356</v>
      </c>
      <c r="J119" s="162">
        <v>30733447</v>
      </c>
      <c r="K119" s="309">
        <v>2967909</v>
      </c>
      <c r="L119" s="94">
        <v>0.0966</v>
      </c>
      <c r="Q119" s="56"/>
      <c r="R119" s="56"/>
      <c r="S119" s="56"/>
      <c r="T119" s="56"/>
    </row>
    <row r="120" spans="1:20" s="55" customFormat="1" ht="11.25">
      <c r="A120" s="189"/>
      <c r="B120" s="183"/>
      <c r="C120" s="166" t="s">
        <v>116</v>
      </c>
      <c r="D120" s="166" t="s">
        <v>339</v>
      </c>
      <c r="E120" s="185"/>
      <c r="F120" s="192"/>
      <c r="G120" s="185"/>
      <c r="H120" s="185"/>
      <c r="I120" s="162">
        <v>15051</v>
      </c>
      <c r="J120" s="162">
        <v>25385</v>
      </c>
      <c r="K120" s="309">
        <v>-10334</v>
      </c>
      <c r="L120" s="94">
        <v>-0.4071</v>
      </c>
      <c r="Q120" s="56"/>
      <c r="R120" s="56"/>
      <c r="S120" s="56"/>
      <c r="T120" s="56"/>
    </row>
    <row r="121" spans="1:20" s="55" customFormat="1" ht="11.25">
      <c r="A121" s="163"/>
      <c r="B121" s="151"/>
      <c r="C121" s="166" t="s">
        <v>117</v>
      </c>
      <c r="D121" s="166" t="s">
        <v>340</v>
      </c>
      <c r="E121" s="151"/>
      <c r="F121" s="160"/>
      <c r="G121" s="121"/>
      <c r="H121" s="227"/>
      <c r="I121" s="162">
        <v>0</v>
      </c>
      <c r="J121" s="162">
        <v>0</v>
      </c>
      <c r="K121" s="309">
        <v>0</v>
      </c>
      <c r="L121" s="94" t="s">
        <v>672</v>
      </c>
      <c r="Q121" s="56"/>
      <c r="R121" s="56"/>
      <c r="S121" s="56"/>
      <c r="T121" s="56"/>
    </row>
    <row r="122" spans="1:20" s="129" customFormat="1" ht="11.25">
      <c r="A122" s="150"/>
      <c r="B122" s="226" t="s">
        <v>133</v>
      </c>
      <c r="C122" s="226" t="s">
        <v>341</v>
      </c>
      <c r="D122" s="151"/>
      <c r="E122" s="151"/>
      <c r="F122" s="152"/>
      <c r="G122" s="154"/>
      <c r="H122" s="139"/>
      <c r="I122" s="156">
        <v>6106931</v>
      </c>
      <c r="J122" s="156">
        <v>6082467</v>
      </c>
      <c r="K122" s="303">
        <v>24464</v>
      </c>
      <c r="L122" s="102">
        <v>0.004</v>
      </c>
      <c r="Q122" s="130"/>
      <c r="R122" s="130"/>
      <c r="S122" s="130"/>
      <c r="T122" s="130"/>
    </row>
    <row r="123" spans="1:20" s="129" customFormat="1" ht="11.25">
      <c r="A123" s="150"/>
      <c r="B123" s="226" t="s">
        <v>179</v>
      </c>
      <c r="C123" s="179" t="s">
        <v>231</v>
      </c>
      <c r="D123" s="151"/>
      <c r="E123" s="151"/>
      <c r="F123" s="152"/>
      <c r="G123" s="154"/>
      <c r="H123" s="139"/>
      <c r="I123" s="156">
        <v>386444</v>
      </c>
      <c r="J123" s="156">
        <v>381746</v>
      </c>
      <c r="K123" s="303">
        <v>4698</v>
      </c>
      <c r="L123" s="102">
        <v>0.0123</v>
      </c>
      <c r="Q123" s="130"/>
      <c r="R123" s="130"/>
      <c r="S123" s="130"/>
      <c r="T123" s="130"/>
    </row>
    <row r="124" spans="1:20" s="129" customFormat="1" ht="10.5">
      <c r="A124" s="150"/>
      <c r="B124" s="226" t="s">
        <v>193</v>
      </c>
      <c r="C124" s="179" t="s">
        <v>244</v>
      </c>
      <c r="D124" s="151"/>
      <c r="E124" s="151"/>
      <c r="F124" s="153"/>
      <c r="G124" s="154"/>
      <c r="H124" s="139"/>
      <c r="I124" s="156">
        <v>0</v>
      </c>
      <c r="J124" s="156">
        <v>0</v>
      </c>
      <c r="K124" s="303">
        <v>0</v>
      </c>
      <c r="L124" s="102" t="s">
        <v>672</v>
      </c>
      <c r="Q124" s="130"/>
      <c r="R124" s="130"/>
      <c r="S124" s="130"/>
      <c r="T124" s="130"/>
    </row>
    <row r="125" spans="1:20" s="129" customFormat="1" ht="11.25">
      <c r="A125" s="150"/>
      <c r="B125" s="226" t="s">
        <v>194</v>
      </c>
      <c r="C125" s="179" t="s">
        <v>245</v>
      </c>
      <c r="D125" s="151"/>
      <c r="E125" s="151"/>
      <c r="F125" s="152"/>
      <c r="G125" s="154"/>
      <c r="H125" s="139"/>
      <c r="I125" s="156">
        <v>7756</v>
      </c>
      <c r="J125" s="156">
        <v>7756</v>
      </c>
      <c r="K125" s="303">
        <v>0</v>
      </c>
      <c r="L125" s="102">
        <v>0</v>
      </c>
      <c r="Q125" s="130"/>
      <c r="R125" s="130"/>
      <c r="S125" s="130"/>
      <c r="T125" s="130"/>
    </row>
    <row r="126" spans="1:20" s="129" customFormat="1" ht="11.25">
      <c r="A126" s="150"/>
      <c r="B126" s="226" t="s">
        <v>195</v>
      </c>
      <c r="C126" s="179" t="s">
        <v>246</v>
      </c>
      <c r="D126" s="151"/>
      <c r="E126" s="151"/>
      <c r="F126" s="152"/>
      <c r="G126" s="154"/>
      <c r="H126" s="139"/>
      <c r="I126" s="228">
        <v>13351803</v>
      </c>
      <c r="J126" s="228">
        <v>5616527</v>
      </c>
      <c r="K126" s="303">
        <v>7735276</v>
      </c>
      <c r="L126" s="102">
        <v>1.3772</v>
      </c>
      <c r="Q126" s="130"/>
      <c r="R126" s="130"/>
      <c r="S126" s="130"/>
      <c r="T126" s="130"/>
    </row>
    <row r="127" spans="1:20" s="129" customFormat="1" ht="10.5">
      <c r="A127" s="349" t="s">
        <v>141</v>
      </c>
      <c r="B127" s="350"/>
      <c r="C127" s="350"/>
      <c r="D127" s="350"/>
      <c r="E127" s="350"/>
      <c r="F127" s="350"/>
      <c r="G127" s="381"/>
      <c r="H127" s="350"/>
      <c r="I127" s="178">
        <v>90196932</v>
      </c>
      <c r="J127" s="178">
        <v>86892712</v>
      </c>
      <c r="K127" s="304">
        <v>3304220</v>
      </c>
      <c r="L127" s="104">
        <v>0.038</v>
      </c>
      <c r="Q127" s="130"/>
      <c r="R127" s="130"/>
      <c r="S127" s="130"/>
      <c r="T127" s="130"/>
    </row>
    <row r="128" spans="1:20" s="129" customFormat="1" ht="10.5">
      <c r="A128" s="229" t="s">
        <v>201</v>
      </c>
      <c r="B128" s="225" t="s">
        <v>247</v>
      </c>
      <c r="C128" s="226"/>
      <c r="D128" s="151"/>
      <c r="E128" s="151"/>
      <c r="F128" s="153"/>
      <c r="G128" s="230"/>
      <c r="H128" s="139"/>
      <c r="I128" s="156"/>
      <c r="J128" s="156"/>
      <c r="K128" s="303"/>
      <c r="L128" s="102"/>
      <c r="Q128" s="130"/>
      <c r="R128" s="130"/>
      <c r="S128" s="130"/>
      <c r="T128" s="130"/>
    </row>
    <row r="129" spans="1:20" s="129" customFormat="1" ht="10.5">
      <c r="A129" s="229"/>
      <c r="B129" s="226" t="s">
        <v>326</v>
      </c>
      <c r="C129" s="225" t="s">
        <v>342</v>
      </c>
      <c r="D129" s="151"/>
      <c r="E129" s="151"/>
      <c r="F129" s="153"/>
      <c r="G129" s="154"/>
      <c r="H129" s="139"/>
      <c r="I129" s="156">
        <v>0</v>
      </c>
      <c r="J129" s="156">
        <v>0</v>
      </c>
      <c r="K129" s="303">
        <v>0</v>
      </c>
      <c r="L129" s="102" t="s">
        <v>672</v>
      </c>
      <c r="Q129" s="130"/>
      <c r="R129" s="130"/>
      <c r="S129" s="130"/>
      <c r="T129" s="130"/>
    </row>
    <row r="130" spans="1:20" s="129" customFormat="1" ht="10.5">
      <c r="A130" s="229"/>
      <c r="B130" s="226" t="s">
        <v>327</v>
      </c>
      <c r="C130" s="225" t="s">
        <v>248</v>
      </c>
      <c r="D130" s="151"/>
      <c r="E130" s="151"/>
      <c r="F130" s="179"/>
      <c r="G130" s="154"/>
      <c r="H130" s="139"/>
      <c r="I130" s="156">
        <v>337309</v>
      </c>
      <c r="J130" s="156">
        <v>337310</v>
      </c>
      <c r="K130" s="303">
        <v>-1</v>
      </c>
      <c r="L130" s="102">
        <v>0</v>
      </c>
      <c r="Q130" s="130"/>
      <c r="R130" s="130"/>
      <c r="S130" s="130"/>
      <c r="T130" s="130"/>
    </row>
    <row r="131" spans="1:20" s="129" customFormat="1" ht="10.5">
      <c r="A131" s="229"/>
      <c r="B131" s="226" t="s">
        <v>328</v>
      </c>
      <c r="C131" s="225" t="s">
        <v>343</v>
      </c>
      <c r="D131" s="151"/>
      <c r="E131" s="151"/>
      <c r="F131" s="153"/>
      <c r="G131" s="154"/>
      <c r="H131" s="139"/>
      <c r="I131" s="156">
        <v>0</v>
      </c>
      <c r="J131" s="156">
        <v>0</v>
      </c>
      <c r="K131" s="303">
        <v>0</v>
      </c>
      <c r="L131" s="102" t="s">
        <v>672</v>
      </c>
      <c r="Q131" s="130"/>
      <c r="R131" s="130"/>
      <c r="S131" s="130"/>
      <c r="T131" s="130"/>
    </row>
    <row r="132" spans="1:20" s="129" customFormat="1" ht="10.5">
      <c r="A132" s="229"/>
      <c r="B132" s="226" t="s">
        <v>116</v>
      </c>
      <c r="C132" s="226" t="s">
        <v>344</v>
      </c>
      <c r="D132" s="151"/>
      <c r="E132" s="151"/>
      <c r="F132" s="179"/>
      <c r="G132" s="154"/>
      <c r="H132" s="139"/>
      <c r="I132" s="156">
        <v>24430291</v>
      </c>
      <c r="J132" s="156">
        <v>21104547</v>
      </c>
      <c r="K132" s="303">
        <v>3325744</v>
      </c>
      <c r="L132" s="102">
        <v>0.1576</v>
      </c>
      <c r="Q132" s="130"/>
      <c r="R132" s="130"/>
      <c r="S132" s="130"/>
      <c r="T132" s="130"/>
    </row>
    <row r="133" spans="1:20" s="129" customFormat="1" ht="10.5">
      <c r="A133" s="229"/>
      <c r="B133" s="226" t="s">
        <v>117</v>
      </c>
      <c r="C133" s="226" t="s">
        <v>345</v>
      </c>
      <c r="D133" s="151"/>
      <c r="E133" s="151"/>
      <c r="F133" s="179"/>
      <c r="G133" s="231"/>
      <c r="H133" s="139"/>
      <c r="I133" s="156">
        <v>524963</v>
      </c>
      <c r="J133" s="156">
        <v>574538</v>
      </c>
      <c r="K133" s="303">
        <v>-49575</v>
      </c>
      <c r="L133" s="102">
        <v>-0.0863</v>
      </c>
      <c r="Q133" s="130"/>
      <c r="R133" s="130"/>
      <c r="S133" s="130"/>
      <c r="T133" s="130"/>
    </row>
    <row r="134" spans="1:20" s="129" customFormat="1" ht="10.5">
      <c r="A134" s="382" t="s">
        <v>183</v>
      </c>
      <c r="B134" s="383"/>
      <c r="C134" s="383"/>
      <c r="D134" s="383"/>
      <c r="E134" s="383"/>
      <c r="F134" s="383"/>
      <c r="G134" s="384"/>
      <c r="H134" s="383"/>
      <c r="I134" s="178">
        <v>25292563</v>
      </c>
      <c r="J134" s="178">
        <v>22016395</v>
      </c>
      <c r="K134" s="304">
        <v>3276168</v>
      </c>
      <c r="L134" s="104">
        <v>0.1488</v>
      </c>
      <c r="Q134" s="130"/>
      <c r="R134" s="130"/>
      <c r="S134" s="130"/>
      <c r="T134" s="130"/>
    </row>
    <row r="135" spans="1:20" s="129" customFormat="1" ht="10.5">
      <c r="A135" s="229" t="s">
        <v>207</v>
      </c>
      <c r="B135" s="226" t="s">
        <v>346</v>
      </c>
      <c r="C135" s="226"/>
      <c r="D135" s="151"/>
      <c r="E135" s="151"/>
      <c r="F135" s="179"/>
      <c r="G135" s="230"/>
      <c r="H135" s="139"/>
      <c r="I135" s="156"/>
      <c r="J135" s="156"/>
      <c r="K135" s="303"/>
      <c r="L135" s="102"/>
      <c r="Q135" s="130"/>
      <c r="R135" s="130"/>
      <c r="S135" s="130"/>
      <c r="T135" s="130"/>
    </row>
    <row r="136" spans="1:20" s="129" customFormat="1" ht="10.5">
      <c r="A136" s="229"/>
      <c r="B136" s="226" t="s">
        <v>326</v>
      </c>
      <c r="C136" s="226" t="s">
        <v>347</v>
      </c>
      <c r="D136" s="151"/>
      <c r="E136" s="151"/>
      <c r="F136" s="179"/>
      <c r="G136" s="154"/>
      <c r="H136" s="139"/>
      <c r="I136" s="156">
        <v>0</v>
      </c>
      <c r="J136" s="156">
        <v>0</v>
      </c>
      <c r="K136" s="303">
        <v>0</v>
      </c>
      <c r="L136" s="102" t="s">
        <v>672</v>
      </c>
      <c r="Q136" s="130"/>
      <c r="R136" s="130"/>
      <c r="S136" s="130"/>
      <c r="T136" s="130"/>
    </row>
    <row r="137" spans="1:20" s="129" customFormat="1" ht="10.5">
      <c r="A137" s="229"/>
      <c r="B137" s="226" t="s">
        <v>327</v>
      </c>
      <c r="C137" s="226" t="s">
        <v>649</v>
      </c>
      <c r="D137" s="151"/>
      <c r="E137" s="151"/>
      <c r="F137" s="179"/>
      <c r="G137" s="231"/>
      <c r="H137" s="139"/>
      <c r="I137" s="156">
        <v>0</v>
      </c>
      <c r="J137" s="156">
        <v>0</v>
      </c>
      <c r="K137" s="303">
        <v>0</v>
      </c>
      <c r="L137" s="102" t="s">
        <v>672</v>
      </c>
      <c r="Q137" s="130"/>
      <c r="R137" s="130"/>
      <c r="S137" s="130"/>
      <c r="T137" s="130"/>
    </row>
    <row r="138" spans="1:20" s="129" customFormat="1" ht="10.5">
      <c r="A138" s="382" t="s">
        <v>186</v>
      </c>
      <c r="B138" s="383"/>
      <c r="C138" s="383"/>
      <c r="D138" s="383"/>
      <c r="E138" s="383"/>
      <c r="F138" s="383"/>
      <c r="G138" s="385"/>
      <c r="H138" s="383"/>
      <c r="I138" s="178">
        <v>0</v>
      </c>
      <c r="J138" s="178">
        <v>0</v>
      </c>
      <c r="K138" s="304">
        <v>0</v>
      </c>
      <c r="L138" s="104" t="s">
        <v>672</v>
      </c>
      <c r="Q138" s="130"/>
      <c r="R138" s="130"/>
      <c r="S138" s="130"/>
      <c r="T138" s="130"/>
    </row>
    <row r="139" spans="1:20" s="129" customFormat="1" ht="10.5">
      <c r="A139" s="232" t="s">
        <v>210</v>
      </c>
      <c r="B139" s="225" t="s">
        <v>348</v>
      </c>
      <c r="C139" s="233"/>
      <c r="D139" s="233"/>
      <c r="E139" s="233"/>
      <c r="F139" s="153"/>
      <c r="G139" s="153"/>
      <c r="H139" s="153"/>
      <c r="I139" s="156"/>
      <c r="J139" s="156"/>
      <c r="K139" s="303"/>
      <c r="L139" s="102"/>
      <c r="Q139" s="130"/>
      <c r="R139" s="130"/>
      <c r="S139" s="130"/>
      <c r="T139" s="130"/>
    </row>
    <row r="140" spans="1:20" s="129" customFormat="1" ht="11.25">
      <c r="A140" s="157"/>
      <c r="B140" s="151"/>
      <c r="C140" s="151"/>
      <c r="D140" s="151"/>
      <c r="E140" s="151"/>
      <c r="F140" s="225"/>
      <c r="G140" s="234" t="s">
        <v>238</v>
      </c>
      <c r="H140" s="235" t="s">
        <v>239</v>
      </c>
      <c r="I140" s="156"/>
      <c r="J140" s="156"/>
      <c r="K140" s="303"/>
      <c r="L140" s="102"/>
      <c r="Q140" s="130"/>
      <c r="R140" s="130"/>
      <c r="S140" s="130"/>
      <c r="T140" s="130"/>
    </row>
    <row r="141" spans="1:20" s="129" customFormat="1" ht="11.25">
      <c r="A141" s="157"/>
      <c r="B141" s="226" t="s">
        <v>326</v>
      </c>
      <c r="C141" s="225" t="s">
        <v>349</v>
      </c>
      <c r="D141" s="151"/>
      <c r="E141" s="151"/>
      <c r="F141" s="225"/>
      <c r="G141" s="120">
        <v>250269</v>
      </c>
      <c r="H141" s="227">
        <v>6249290</v>
      </c>
      <c r="I141" s="236">
        <v>6499559</v>
      </c>
      <c r="J141" s="236">
        <v>6744042</v>
      </c>
      <c r="K141" s="324">
        <v>-244483</v>
      </c>
      <c r="L141" s="257">
        <v>-0.0363</v>
      </c>
      <c r="Q141" s="130"/>
      <c r="R141" s="130"/>
      <c r="S141" s="130"/>
      <c r="T141" s="130"/>
    </row>
    <row r="142" spans="1:20" s="129" customFormat="1" ht="11.25">
      <c r="A142" s="157"/>
      <c r="B142" s="226" t="s">
        <v>327</v>
      </c>
      <c r="C142" s="237" t="s">
        <v>350</v>
      </c>
      <c r="D142" s="151"/>
      <c r="E142" s="151"/>
      <c r="F142" s="153"/>
      <c r="G142" s="120">
        <v>0</v>
      </c>
      <c r="H142" s="139">
        <v>0</v>
      </c>
      <c r="I142" s="236">
        <v>0</v>
      </c>
      <c r="J142" s="236">
        <v>0</v>
      </c>
      <c r="K142" s="324">
        <v>0</v>
      </c>
      <c r="L142" s="257" t="s">
        <v>672</v>
      </c>
      <c r="Q142" s="130"/>
      <c r="R142" s="130"/>
      <c r="S142" s="130"/>
      <c r="T142" s="130"/>
    </row>
    <row r="143" spans="1:20" s="129" customFormat="1" ht="11.25">
      <c r="A143" s="157"/>
      <c r="B143" s="226" t="s">
        <v>328</v>
      </c>
      <c r="C143" s="225" t="s">
        <v>351</v>
      </c>
      <c r="D143" s="151"/>
      <c r="E143" s="151"/>
      <c r="F143" s="153"/>
      <c r="G143" s="120">
        <v>16843</v>
      </c>
      <c r="H143" s="227">
        <v>213834</v>
      </c>
      <c r="I143" s="236">
        <v>230677</v>
      </c>
      <c r="J143" s="236">
        <v>213843</v>
      </c>
      <c r="K143" s="324">
        <v>16834</v>
      </c>
      <c r="L143" s="257">
        <v>0.0787</v>
      </c>
      <c r="Q143" s="130"/>
      <c r="R143" s="130"/>
      <c r="S143" s="130"/>
      <c r="T143" s="130"/>
    </row>
    <row r="144" spans="1:20" s="129" customFormat="1" ht="11.25">
      <c r="A144" s="157"/>
      <c r="B144" s="226" t="s">
        <v>116</v>
      </c>
      <c r="C144" s="237" t="s">
        <v>352</v>
      </c>
      <c r="D144" s="151"/>
      <c r="E144" s="151"/>
      <c r="F144" s="225"/>
      <c r="G144" s="120">
        <v>29311</v>
      </c>
      <c r="H144" s="227">
        <v>681</v>
      </c>
      <c r="I144" s="236">
        <v>29992</v>
      </c>
      <c r="J144" s="236">
        <v>31076</v>
      </c>
      <c r="K144" s="324">
        <v>-1084</v>
      </c>
      <c r="L144" s="257">
        <v>-0.0349</v>
      </c>
      <c r="Q144" s="130"/>
      <c r="R144" s="130"/>
      <c r="S144" s="130"/>
      <c r="T144" s="130"/>
    </row>
    <row r="145" spans="1:20" s="129" customFormat="1" ht="11.25">
      <c r="A145" s="157"/>
      <c r="B145" s="226" t="s">
        <v>117</v>
      </c>
      <c r="C145" s="225" t="s">
        <v>353</v>
      </c>
      <c r="D145" s="151"/>
      <c r="E145" s="151"/>
      <c r="F145" s="153"/>
      <c r="G145" s="120"/>
      <c r="H145" s="125"/>
      <c r="I145" s="236">
        <v>240832</v>
      </c>
      <c r="J145" s="236">
        <v>1611366</v>
      </c>
      <c r="K145" s="324">
        <v>-1370534</v>
      </c>
      <c r="L145" s="257">
        <v>-0.8505</v>
      </c>
      <c r="Q145" s="130"/>
      <c r="R145" s="130"/>
      <c r="S145" s="130"/>
      <c r="T145" s="130"/>
    </row>
    <row r="146" spans="1:20" s="55" customFormat="1" ht="11.25">
      <c r="A146" s="157"/>
      <c r="B146" s="151"/>
      <c r="C146" s="160" t="s">
        <v>281</v>
      </c>
      <c r="D146" s="370" t="s">
        <v>354</v>
      </c>
      <c r="E146" s="370"/>
      <c r="F146" s="371"/>
      <c r="G146" s="120">
        <v>69451</v>
      </c>
      <c r="H146" s="125">
        <v>0</v>
      </c>
      <c r="I146" s="238">
        <v>69451</v>
      </c>
      <c r="J146" s="238">
        <v>0</v>
      </c>
      <c r="K146" s="325">
        <v>69451</v>
      </c>
      <c r="L146" s="258" t="s">
        <v>672</v>
      </c>
      <c r="Q146" s="56"/>
      <c r="R146" s="56"/>
      <c r="S146" s="56"/>
      <c r="T146" s="56"/>
    </row>
    <row r="147" spans="1:20" s="55" customFormat="1" ht="18.75" customHeight="1">
      <c r="A147" s="157"/>
      <c r="B147" s="151"/>
      <c r="C147" s="160" t="s">
        <v>282</v>
      </c>
      <c r="D147" s="370" t="s">
        <v>355</v>
      </c>
      <c r="E147" s="370"/>
      <c r="F147" s="371"/>
      <c r="G147" s="120">
        <v>0</v>
      </c>
      <c r="H147" s="125">
        <v>0</v>
      </c>
      <c r="I147" s="238">
        <v>0</v>
      </c>
      <c r="J147" s="238">
        <v>0</v>
      </c>
      <c r="K147" s="325">
        <v>0</v>
      </c>
      <c r="L147" s="258" t="s">
        <v>672</v>
      </c>
      <c r="Q147" s="56"/>
      <c r="R147" s="56"/>
      <c r="S147" s="56"/>
      <c r="T147" s="56"/>
    </row>
    <row r="148" spans="1:20" s="55" customFormat="1" ht="18.75" customHeight="1">
      <c r="A148" s="157"/>
      <c r="B148" s="151"/>
      <c r="C148" s="160" t="s">
        <v>283</v>
      </c>
      <c r="D148" s="370" t="s">
        <v>356</v>
      </c>
      <c r="E148" s="370"/>
      <c r="F148" s="371"/>
      <c r="G148" s="120">
        <v>0</v>
      </c>
      <c r="H148" s="125">
        <v>0</v>
      </c>
      <c r="I148" s="238">
        <v>0</v>
      </c>
      <c r="J148" s="238">
        <v>0</v>
      </c>
      <c r="K148" s="325">
        <v>0</v>
      </c>
      <c r="L148" s="258" t="s">
        <v>672</v>
      </c>
      <c r="Q148" s="56"/>
      <c r="R148" s="56"/>
      <c r="S148" s="56"/>
      <c r="T148" s="56"/>
    </row>
    <row r="149" spans="1:20" s="55" customFormat="1" ht="11.25">
      <c r="A149" s="157"/>
      <c r="B149" s="151"/>
      <c r="C149" s="160" t="s">
        <v>284</v>
      </c>
      <c r="D149" s="370" t="s">
        <v>357</v>
      </c>
      <c r="E149" s="370"/>
      <c r="F149" s="371"/>
      <c r="G149" s="120">
        <v>63964</v>
      </c>
      <c r="H149" s="125">
        <v>0</v>
      </c>
      <c r="I149" s="238">
        <v>63964</v>
      </c>
      <c r="J149" s="238">
        <v>1513316</v>
      </c>
      <c r="K149" s="325">
        <v>-1449352</v>
      </c>
      <c r="L149" s="258">
        <v>-0.9577</v>
      </c>
      <c r="Q149" s="56"/>
      <c r="R149" s="56"/>
      <c r="S149" s="56"/>
      <c r="T149" s="56"/>
    </row>
    <row r="150" spans="1:20" s="55" customFormat="1" ht="21" customHeight="1">
      <c r="A150" s="157"/>
      <c r="B150" s="151"/>
      <c r="C150" s="160" t="s">
        <v>285</v>
      </c>
      <c r="D150" s="370" t="s">
        <v>358</v>
      </c>
      <c r="E150" s="370"/>
      <c r="F150" s="371"/>
      <c r="G150" s="120">
        <v>0</v>
      </c>
      <c r="H150" s="125">
        <v>0</v>
      </c>
      <c r="I150" s="238">
        <v>0</v>
      </c>
      <c r="J150" s="238">
        <v>0</v>
      </c>
      <c r="K150" s="325">
        <v>0</v>
      </c>
      <c r="L150" s="258" t="s">
        <v>672</v>
      </c>
      <c r="Q150" s="56"/>
      <c r="R150" s="56"/>
      <c r="S150" s="56"/>
      <c r="T150" s="56"/>
    </row>
    <row r="151" spans="1:20" s="55" customFormat="1" ht="11.25">
      <c r="A151" s="157"/>
      <c r="B151" s="151"/>
      <c r="C151" s="160" t="s">
        <v>286</v>
      </c>
      <c r="D151" s="370" t="s">
        <v>359</v>
      </c>
      <c r="E151" s="370"/>
      <c r="F151" s="371"/>
      <c r="G151" s="120">
        <v>82706</v>
      </c>
      <c r="H151" s="125">
        <v>24711</v>
      </c>
      <c r="I151" s="238">
        <v>107417</v>
      </c>
      <c r="J151" s="238">
        <v>98050</v>
      </c>
      <c r="K151" s="325">
        <v>9367</v>
      </c>
      <c r="L151" s="258">
        <v>0.0955</v>
      </c>
      <c r="Q151" s="56"/>
      <c r="R151" s="56"/>
      <c r="S151" s="56"/>
      <c r="T151" s="56"/>
    </row>
    <row r="152" spans="1:20" s="129" customFormat="1" ht="11.25">
      <c r="A152" s="157"/>
      <c r="B152" s="226" t="s">
        <v>126</v>
      </c>
      <c r="C152" s="226" t="s">
        <v>360</v>
      </c>
      <c r="D152" s="226"/>
      <c r="E152" s="151"/>
      <c r="F152" s="225"/>
      <c r="G152" s="120">
        <v>2122871</v>
      </c>
      <c r="H152" s="227">
        <v>36531</v>
      </c>
      <c r="I152" s="236">
        <v>2159402</v>
      </c>
      <c r="J152" s="236">
        <v>0</v>
      </c>
      <c r="K152" s="324">
        <v>2159402</v>
      </c>
      <c r="L152" s="257" t="s">
        <v>672</v>
      </c>
      <c r="Q152" s="130"/>
      <c r="R152" s="130"/>
      <c r="S152" s="130"/>
      <c r="T152" s="130"/>
    </row>
    <row r="153" spans="1:20" s="129" customFormat="1" ht="11.25">
      <c r="A153" s="157"/>
      <c r="B153" s="226" t="s">
        <v>127</v>
      </c>
      <c r="C153" s="225" t="s">
        <v>364</v>
      </c>
      <c r="D153" s="226"/>
      <c r="E153" s="151"/>
      <c r="F153" s="225"/>
      <c r="G153" s="120">
        <v>5999769</v>
      </c>
      <c r="H153" s="227">
        <v>274667</v>
      </c>
      <c r="I153" s="236">
        <v>6274436</v>
      </c>
      <c r="J153" s="236">
        <v>7353202</v>
      </c>
      <c r="K153" s="324">
        <v>-1078766</v>
      </c>
      <c r="L153" s="257">
        <v>-0.1467</v>
      </c>
      <c r="Q153" s="130"/>
      <c r="R153" s="130"/>
      <c r="S153" s="130"/>
      <c r="T153" s="130"/>
    </row>
    <row r="154" spans="1:20" s="129" customFormat="1" ht="11.25">
      <c r="A154" s="157"/>
      <c r="B154" s="226" t="s">
        <v>129</v>
      </c>
      <c r="C154" s="225" t="s">
        <v>365</v>
      </c>
      <c r="D154" s="226"/>
      <c r="E154" s="151"/>
      <c r="F154" s="225"/>
      <c r="G154" s="120">
        <v>0</v>
      </c>
      <c r="H154" s="227">
        <v>0</v>
      </c>
      <c r="I154" s="236">
        <v>0</v>
      </c>
      <c r="J154" s="236">
        <v>0</v>
      </c>
      <c r="K154" s="324">
        <v>0</v>
      </c>
      <c r="L154" s="257" t="s">
        <v>672</v>
      </c>
      <c r="Q154" s="130"/>
      <c r="R154" s="130"/>
      <c r="S154" s="130"/>
      <c r="T154" s="130"/>
    </row>
    <row r="155" spans="1:20" s="129" customFormat="1" ht="11.25">
      <c r="A155" s="157"/>
      <c r="B155" s="226" t="s">
        <v>132</v>
      </c>
      <c r="C155" s="225" t="s">
        <v>249</v>
      </c>
      <c r="D155" s="226"/>
      <c r="E155" s="151"/>
      <c r="F155" s="239"/>
      <c r="G155" s="120">
        <v>1892530</v>
      </c>
      <c r="H155" s="227">
        <v>0</v>
      </c>
      <c r="I155" s="236">
        <v>1892530</v>
      </c>
      <c r="J155" s="236">
        <v>11872</v>
      </c>
      <c r="K155" s="324">
        <v>1880658</v>
      </c>
      <c r="L155" s="327">
        <v>158.4112</v>
      </c>
      <c r="Q155" s="130"/>
      <c r="R155" s="130"/>
      <c r="S155" s="130"/>
      <c r="T155" s="130"/>
    </row>
    <row r="156" spans="1:20" s="129" customFormat="1" ht="11.25">
      <c r="A156" s="240"/>
      <c r="B156" s="241" t="s">
        <v>361</v>
      </c>
      <c r="C156" s="225" t="s">
        <v>366</v>
      </c>
      <c r="D156" s="241"/>
      <c r="E156" s="216"/>
      <c r="F156" s="239"/>
      <c r="G156" s="120">
        <v>0</v>
      </c>
      <c r="H156" s="328">
        <v>0</v>
      </c>
      <c r="I156" s="236">
        <v>0</v>
      </c>
      <c r="J156" s="236">
        <v>0</v>
      </c>
      <c r="K156" s="324">
        <v>0</v>
      </c>
      <c r="L156" s="257" t="s">
        <v>672</v>
      </c>
      <c r="Q156" s="130"/>
      <c r="R156" s="130"/>
      <c r="S156" s="130"/>
      <c r="T156" s="130"/>
    </row>
    <row r="157" spans="1:20" s="129" customFormat="1" ht="11.25">
      <c r="A157" s="157"/>
      <c r="B157" s="226" t="s">
        <v>362</v>
      </c>
      <c r="C157" s="225" t="s">
        <v>367</v>
      </c>
      <c r="D157" s="226"/>
      <c r="E157" s="151"/>
      <c r="F157" s="225"/>
      <c r="G157" s="120">
        <v>96825</v>
      </c>
      <c r="H157" s="227">
        <v>333237</v>
      </c>
      <c r="I157" s="236">
        <v>430062</v>
      </c>
      <c r="J157" s="236">
        <v>343171</v>
      </c>
      <c r="K157" s="324">
        <v>86891</v>
      </c>
      <c r="L157" s="257">
        <v>0.2532</v>
      </c>
      <c r="Q157" s="130"/>
      <c r="R157" s="130"/>
      <c r="S157" s="130"/>
      <c r="T157" s="130"/>
    </row>
    <row r="158" spans="1:20" s="129" customFormat="1" ht="11.25">
      <c r="A158" s="157"/>
      <c r="B158" s="226" t="s">
        <v>363</v>
      </c>
      <c r="C158" s="225" t="s">
        <v>368</v>
      </c>
      <c r="D158" s="226"/>
      <c r="E158" s="151"/>
      <c r="F158" s="153"/>
      <c r="G158" s="302">
        <v>5836820</v>
      </c>
      <c r="H158" s="329">
        <v>131703</v>
      </c>
      <c r="I158" s="236">
        <v>5968523</v>
      </c>
      <c r="J158" s="236">
        <v>10674882</v>
      </c>
      <c r="K158" s="324">
        <v>-4706359</v>
      </c>
      <c r="L158" s="257">
        <v>-0.4409</v>
      </c>
      <c r="Q158" s="130"/>
      <c r="R158" s="130"/>
      <c r="S158" s="130"/>
      <c r="T158" s="130"/>
    </row>
    <row r="159" spans="1:20" s="129" customFormat="1" ht="10.5">
      <c r="A159" s="386" t="s">
        <v>191</v>
      </c>
      <c r="B159" s="387"/>
      <c r="C159" s="387"/>
      <c r="D159" s="387"/>
      <c r="E159" s="387"/>
      <c r="F159" s="387"/>
      <c r="G159" s="388"/>
      <c r="H159" s="389"/>
      <c r="I159" s="178">
        <v>23726013</v>
      </c>
      <c r="J159" s="178">
        <v>26983454</v>
      </c>
      <c r="K159" s="304">
        <v>-3257441</v>
      </c>
      <c r="L159" s="104">
        <v>-0.1207</v>
      </c>
      <c r="Q159" s="130"/>
      <c r="R159" s="130"/>
      <c r="S159" s="130"/>
      <c r="T159" s="130"/>
    </row>
    <row r="160" spans="1:20" s="129" customFormat="1" ht="10.5">
      <c r="A160" s="229" t="s">
        <v>212</v>
      </c>
      <c r="B160" s="225" t="s">
        <v>232</v>
      </c>
      <c r="C160" s="226"/>
      <c r="D160" s="226"/>
      <c r="E160" s="151"/>
      <c r="F160" s="153"/>
      <c r="G160" s="230"/>
      <c r="H160" s="139"/>
      <c r="I160" s="156"/>
      <c r="J160" s="156"/>
      <c r="K160" s="303"/>
      <c r="L160" s="102"/>
      <c r="Q160" s="130"/>
      <c r="R160" s="130"/>
      <c r="S160" s="130"/>
      <c r="T160" s="130"/>
    </row>
    <row r="161" spans="1:20" s="129" customFormat="1" ht="10.5">
      <c r="A161" s="229"/>
      <c r="B161" s="226" t="s">
        <v>326</v>
      </c>
      <c r="C161" s="225" t="s">
        <v>233</v>
      </c>
      <c r="D161" s="226"/>
      <c r="E161" s="151"/>
      <c r="F161" s="179"/>
      <c r="G161" s="154"/>
      <c r="H161" s="139"/>
      <c r="I161" s="156">
        <v>12500</v>
      </c>
      <c r="J161" s="156">
        <v>23139</v>
      </c>
      <c r="K161" s="303">
        <v>-10639</v>
      </c>
      <c r="L161" s="102">
        <v>-0.4598</v>
      </c>
      <c r="Q161" s="130"/>
      <c r="R161" s="130"/>
      <c r="S161" s="130"/>
      <c r="T161" s="130"/>
    </row>
    <row r="162" spans="1:20" s="129" customFormat="1" ht="10.5">
      <c r="A162" s="229"/>
      <c r="B162" s="226" t="s">
        <v>327</v>
      </c>
      <c r="C162" s="225" t="s">
        <v>234</v>
      </c>
      <c r="D162" s="226"/>
      <c r="E162" s="151"/>
      <c r="F162" s="153"/>
      <c r="G162" s="231"/>
      <c r="H162" s="139"/>
      <c r="I162" s="156">
        <v>0</v>
      </c>
      <c r="J162" s="156">
        <v>0</v>
      </c>
      <c r="K162" s="303">
        <v>0</v>
      </c>
      <c r="L162" s="102" t="s">
        <v>672</v>
      </c>
      <c r="Q162" s="130"/>
      <c r="R162" s="130"/>
      <c r="S162" s="130"/>
      <c r="T162" s="130"/>
    </row>
    <row r="163" spans="1:20" s="129" customFormat="1" ht="10.5">
      <c r="A163" s="386" t="s">
        <v>369</v>
      </c>
      <c r="B163" s="387"/>
      <c r="C163" s="387"/>
      <c r="D163" s="387"/>
      <c r="E163" s="387"/>
      <c r="F163" s="387"/>
      <c r="G163" s="391"/>
      <c r="H163" s="389"/>
      <c r="I163" s="178">
        <v>12500</v>
      </c>
      <c r="J163" s="178">
        <v>23139</v>
      </c>
      <c r="K163" s="304">
        <v>-10639</v>
      </c>
      <c r="L163" s="104">
        <v>-0.4598</v>
      </c>
      <c r="Q163" s="130"/>
      <c r="R163" s="130"/>
      <c r="S163" s="130"/>
      <c r="T163" s="130"/>
    </row>
    <row r="164" spans="1:20" s="129" customFormat="1" ht="11.25" thickBot="1">
      <c r="A164" s="157"/>
      <c r="B164" s="151"/>
      <c r="C164" s="151"/>
      <c r="D164" s="151"/>
      <c r="E164" s="151"/>
      <c r="F164" s="179"/>
      <c r="G164" s="230"/>
      <c r="H164" s="139"/>
      <c r="I164" s="156"/>
      <c r="J164" s="156"/>
      <c r="K164" s="303"/>
      <c r="L164" s="102"/>
      <c r="Q164" s="130"/>
      <c r="R164" s="130"/>
      <c r="S164" s="130"/>
      <c r="T164" s="130"/>
    </row>
    <row r="165" spans="1:20" s="129" customFormat="1" ht="11.25" thickBot="1">
      <c r="A165" s="374" t="s">
        <v>370</v>
      </c>
      <c r="B165" s="375"/>
      <c r="C165" s="375"/>
      <c r="D165" s="375"/>
      <c r="E165" s="375"/>
      <c r="F165" s="375"/>
      <c r="G165" s="375"/>
      <c r="H165" s="376"/>
      <c r="I165" s="206">
        <v>139228008</v>
      </c>
      <c r="J165" s="206">
        <v>135915700</v>
      </c>
      <c r="K165" s="316">
        <v>3312308</v>
      </c>
      <c r="L165" s="107">
        <v>0.0244</v>
      </c>
      <c r="Q165" s="130"/>
      <c r="R165" s="130"/>
      <c r="S165" s="130"/>
      <c r="T165" s="130"/>
    </row>
    <row r="166" spans="1:20" s="136" customFormat="1" ht="10.5">
      <c r="A166" s="229" t="s">
        <v>371</v>
      </c>
      <c r="B166" s="225" t="s">
        <v>187</v>
      </c>
      <c r="C166" s="226"/>
      <c r="D166" s="226"/>
      <c r="E166" s="226"/>
      <c r="F166" s="241"/>
      <c r="G166" s="183"/>
      <c r="H166" s="202"/>
      <c r="I166" s="156"/>
      <c r="J166" s="156"/>
      <c r="K166" s="303"/>
      <c r="L166" s="102"/>
      <c r="Q166" s="137"/>
      <c r="R166" s="137"/>
      <c r="S166" s="137"/>
      <c r="T166" s="137"/>
    </row>
    <row r="167" spans="1:20" s="136" customFormat="1" ht="10.5">
      <c r="A167" s="229"/>
      <c r="B167" s="226" t="s">
        <v>260</v>
      </c>
      <c r="C167" s="225" t="s">
        <v>188</v>
      </c>
      <c r="D167" s="226"/>
      <c r="E167" s="226"/>
      <c r="F167" s="179"/>
      <c r="G167" s="183"/>
      <c r="H167" s="202"/>
      <c r="I167" s="156">
        <v>182802</v>
      </c>
      <c r="J167" s="156">
        <v>301856</v>
      </c>
      <c r="K167" s="303">
        <v>-119054</v>
      </c>
      <c r="L167" s="102">
        <v>-0.3944</v>
      </c>
      <c r="Q167" s="137"/>
      <c r="R167" s="137"/>
      <c r="S167" s="137"/>
      <c r="T167" s="137"/>
    </row>
    <row r="168" spans="1:20" s="136" customFormat="1" ht="10.5">
      <c r="A168" s="229"/>
      <c r="B168" s="226" t="s">
        <v>327</v>
      </c>
      <c r="C168" s="179" t="s">
        <v>226</v>
      </c>
      <c r="D168" s="226"/>
      <c r="E168" s="226"/>
      <c r="F168" s="241"/>
      <c r="G168" s="183"/>
      <c r="H168" s="202"/>
      <c r="I168" s="156">
        <v>0</v>
      </c>
      <c r="J168" s="156">
        <v>0</v>
      </c>
      <c r="K168" s="303">
        <v>0</v>
      </c>
      <c r="L168" s="102" t="s">
        <v>672</v>
      </c>
      <c r="Q168" s="137"/>
      <c r="R168" s="137"/>
      <c r="S168" s="137"/>
      <c r="T168" s="137"/>
    </row>
    <row r="169" spans="1:20" s="136" customFormat="1" ht="10.5">
      <c r="A169" s="229"/>
      <c r="B169" s="179" t="s">
        <v>328</v>
      </c>
      <c r="C169" s="226" t="s">
        <v>189</v>
      </c>
      <c r="D169" s="226"/>
      <c r="E169" s="226"/>
      <c r="F169" s="241"/>
      <c r="G169" s="183"/>
      <c r="H169" s="202"/>
      <c r="I169" s="156">
        <v>85496</v>
      </c>
      <c r="J169" s="156">
        <v>85496</v>
      </c>
      <c r="K169" s="303">
        <v>0</v>
      </c>
      <c r="L169" s="102">
        <v>0</v>
      </c>
      <c r="Q169" s="137"/>
      <c r="R169" s="137"/>
      <c r="S169" s="137"/>
      <c r="T169" s="137"/>
    </row>
    <row r="170" spans="1:20" s="136" customFormat="1" ht="10.5">
      <c r="A170" s="229"/>
      <c r="B170" s="226" t="s">
        <v>116</v>
      </c>
      <c r="C170" s="225" t="s">
        <v>190</v>
      </c>
      <c r="D170" s="226"/>
      <c r="E170" s="226"/>
      <c r="F170" s="179"/>
      <c r="G170" s="203"/>
      <c r="H170" s="202"/>
      <c r="I170" s="156">
        <v>16127491</v>
      </c>
      <c r="J170" s="156">
        <v>16407971</v>
      </c>
      <c r="K170" s="303">
        <v>-280480</v>
      </c>
      <c r="L170" s="102">
        <v>-0.0171</v>
      </c>
      <c r="Q170" s="137"/>
      <c r="R170" s="137"/>
      <c r="S170" s="137"/>
      <c r="T170" s="137"/>
    </row>
    <row r="171" spans="1:20" s="129" customFormat="1" ht="11.25" thickBot="1">
      <c r="A171" s="377" t="s">
        <v>372</v>
      </c>
      <c r="B171" s="378"/>
      <c r="C171" s="378"/>
      <c r="D171" s="378"/>
      <c r="E171" s="378"/>
      <c r="F171" s="378"/>
      <c r="G171" s="379"/>
      <c r="H171" s="380"/>
      <c r="I171" s="207">
        <v>16395789</v>
      </c>
      <c r="J171" s="207">
        <v>16795323</v>
      </c>
      <c r="K171" s="317">
        <v>-399534</v>
      </c>
      <c r="L171" s="253">
        <v>-0.0238</v>
      </c>
      <c r="Q171" s="130"/>
      <c r="R171" s="130"/>
      <c r="S171" s="130"/>
      <c r="T171" s="130"/>
    </row>
    <row r="172" spans="1:12" s="55" customFormat="1" ht="11.25">
      <c r="A172" s="59"/>
      <c r="B172" s="59"/>
      <c r="C172" s="59"/>
      <c r="D172" s="59"/>
      <c r="E172" s="59"/>
      <c r="F172" s="60"/>
      <c r="I172" s="245"/>
      <c r="J172" s="245"/>
      <c r="K172" s="326"/>
      <c r="L172" s="113"/>
    </row>
    <row r="173" spans="1:12" s="55" customFormat="1" ht="11.25">
      <c r="A173" s="59"/>
      <c r="B173" s="59"/>
      <c r="C173" s="59"/>
      <c r="D173" s="59"/>
      <c r="E173" s="59"/>
      <c r="F173" s="60"/>
      <c r="I173" s="245"/>
      <c r="J173" s="245"/>
      <c r="K173" s="326"/>
      <c r="L173" s="113"/>
    </row>
    <row r="174" spans="1:12" s="55" customFormat="1" ht="11.25">
      <c r="A174" s="59"/>
      <c r="B174" s="59"/>
      <c r="C174" s="59"/>
      <c r="D174" s="59"/>
      <c r="E174" s="59"/>
      <c r="F174" s="60"/>
      <c r="I174" s="245"/>
      <c r="J174" s="246"/>
      <c r="K174" s="326"/>
      <c r="L174" s="113"/>
    </row>
    <row r="175" spans="1:12" s="55" customFormat="1" ht="11.25">
      <c r="A175" s="59"/>
      <c r="B175" s="59"/>
      <c r="C175" s="59"/>
      <c r="D175" s="59"/>
      <c r="E175" s="59"/>
      <c r="F175" s="60"/>
      <c r="I175" s="245"/>
      <c r="J175" s="246"/>
      <c r="K175" s="326"/>
      <c r="L175" s="113"/>
    </row>
    <row r="176" spans="1:12" s="55" customFormat="1" ht="11.25">
      <c r="A176" s="59"/>
      <c r="B176" s="59"/>
      <c r="C176" s="59"/>
      <c r="D176" s="59"/>
      <c r="E176" s="59"/>
      <c r="F176" s="60"/>
      <c r="I176" s="245"/>
      <c r="J176" s="246"/>
      <c r="K176" s="326"/>
      <c r="L176" s="113"/>
    </row>
    <row r="177" spans="1:12" s="55" customFormat="1" ht="11.25">
      <c r="A177" s="59"/>
      <c r="B177" s="59"/>
      <c r="C177" s="59"/>
      <c r="D177" s="59"/>
      <c r="E177" s="59"/>
      <c r="F177" s="60"/>
      <c r="I177" s="245"/>
      <c r="J177" s="246"/>
      <c r="K177" s="326"/>
      <c r="L177" s="113"/>
    </row>
    <row r="178" spans="1:12" s="55" customFormat="1" ht="11.25">
      <c r="A178" s="59"/>
      <c r="B178" s="59"/>
      <c r="C178" s="59"/>
      <c r="D178" s="59"/>
      <c r="E178" s="59"/>
      <c r="F178" s="60"/>
      <c r="I178" s="245"/>
      <c r="J178" s="246"/>
      <c r="K178" s="326"/>
      <c r="L178" s="113"/>
    </row>
    <row r="179" spans="1:12" s="55" customFormat="1" ht="11.25">
      <c r="A179" s="59"/>
      <c r="B179" s="59"/>
      <c r="C179" s="59"/>
      <c r="D179" s="59"/>
      <c r="E179" s="59"/>
      <c r="F179" s="60"/>
      <c r="I179" s="245"/>
      <c r="J179" s="246"/>
      <c r="K179" s="326"/>
      <c r="L179" s="113"/>
    </row>
    <row r="180" spans="1:12" s="55" customFormat="1" ht="11.25">
      <c r="A180" s="59"/>
      <c r="B180" s="59"/>
      <c r="C180" s="59"/>
      <c r="D180" s="59"/>
      <c r="E180" s="59"/>
      <c r="F180" s="60"/>
      <c r="I180" s="245"/>
      <c r="J180" s="246"/>
      <c r="K180" s="326"/>
      <c r="L180" s="113"/>
    </row>
    <row r="181" spans="1:12" s="55" customFormat="1" ht="11.25">
      <c r="A181" s="59"/>
      <c r="B181" s="59"/>
      <c r="C181" s="59"/>
      <c r="D181" s="59"/>
      <c r="E181" s="59"/>
      <c r="F181" s="60"/>
      <c r="I181" s="245"/>
      <c r="J181" s="246"/>
      <c r="K181" s="326"/>
      <c r="L181" s="113"/>
    </row>
    <row r="182" spans="1:12" s="55" customFormat="1" ht="11.25">
      <c r="A182" s="59"/>
      <c r="B182" s="59"/>
      <c r="C182" s="59"/>
      <c r="D182" s="59"/>
      <c r="E182" s="59"/>
      <c r="F182" s="60"/>
      <c r="I182" s="245"/>
      <c r="J182" s="246"/>
      <c r="K182" s="326"/>
      <c r="L182" s="113"/>
    </row>
    <row r="183" spans="1:12" s="55" customFormat="1" ht="11.25">
      <c r="A183" s="59"/>
      <c r="B183" s="59"/>
      <c r="C183" s="59"/>
      <c r="D183" s="59"/>
      <c r="E183" s="59"/>
      <c r="F183" s="60"/>
      <c r="I183" s="245"/>
      <c r="J183" s="246"/>
      <c r="K183" s="326"/>
      <c r="L183" s="113"/>
    </row>
    <row r="184" spans="1:12" s="55" customFormat="1" ht="11.25">
      <c r="A184" s="59"/>
      <c r="B184" s="59"/>
      <c r="C184" s="59"/>
      <c r="D184" s="59"/>
      <c r="E184" s="59"/>
      <c r="F184" s="60"/>
      <c r="I184" s="245"/>
      <c r="J184" s="246"/>
      <c r="K184" s="326"/>
      <c r="L184" s="113"/>
    </row>
    <row r="185" spans="1:12" s="55" customFormat="1" ht="11.25">
      <c r="A185" s="59"/>
      <c r="B185" s="59"/>
      <c r="C185" s="59"/>
      <c r="D185" s="59"/>
      <c r="E185" s="59"/>
      <c r="F185" s="60"/>
      <c r="I185" s="245"/>
      <c r="J185" s="246"/>
      <c r="K185" s="326"/>
      <c r="L185" s="113"/>
    </row>
    <row r="186" spans="1:12" s="55" customFormat="1" ht="11.25">
      <c r="A186" s="59"/>
      <c r="B186" s="59"/>
      <c r="C186" s="59"/>
      <c r="D186" s="59"/>
      <c r="E186" s="59"/>
      <c r="F186" s="60"/>
      <c r="I186" s="245"/>
      <c r="J186" s="246"/>
      <c r="K186" s="326"/>
      <c r="L186" s="113"/>
    </row>
    <row r="187" spans="1:12" s="55" customFormat="1" ht="11.25">
      <c r="A187" s="59"/>
      <c r="B187" s="59"/>
      <c r="C187" s="59"/>
      <c r="D187" s="59"/>
      <c r="E187" s="59"/>
      <c r="F187" s="60"/>
      <c r="I187" s="245"/>
      <c r="J187" s="246"/>
      <c r="K187" s="326"/>
      <c r="L187" s="113"/>
    </row>
    <row r="188" spans="1:12" s="55" customFormat="1" ht="11.25">
      <c r="A188" s="59"/>
      <c r="B188" s="59"/>
      <c r="C188" s="59"/>
      <c r="D188" s="59"/>
      <c r="E188" s="59"/>
      <c r="F188" s="60"/>
      <c r="I188" s="245"/>
      <c r="J188" s="246"/>
      <c r="K188" s="326"/>
      <c r="L188" s="113"/>
    </row>
    <row r="189" spans="1:12" s="55" customFormat="1" ht="11.25">
      <c r="A189" s="59"/>
      <c r="B189" s="59"/>
      <c r="C189" s="59"/>
      <c r="D189" s="59"/>
      <c r="E189" s="59"/>
      <c r="F189" s="60"/>
      <c r="I189" s="245"/>
      <c r="J189" s="246"/>
      <c r="K189" s="326"/>
      <c r="L189" s="113"/>
    </row>
    <row r="190" spans="1:12" s="55" customFormat="1" ht="11.25">
      <c r="A190" s="59"/>
      <c r="B190" s="59"/>
      <c r="C190" s="59"/>
      <c r="D190" s="59"/>
      <c r="E190" s="59"/>
      <c r="F190" s="60"/>
      <c r="I190" s="245"/>
      <c r="J190" s="246"/>
      <c r="K190" s="326"/>
      <c r="L190" s="113"/>
    </row>
    <row r="191" spans="1:12" s="55" customFormat="1" ht="11.25">
      <c r="A191" s="59"/>
      <c r="B191" s="59"/>
      <c r="C191" s="59"/>
      <c r="D191" s="59"/>
      <c r="E191" s="59"/>
      <c r="F191" s="60"/>
      <c r="I191" s="245"/>
      <c r="J191" s="246"/>
      <c r="K191" s="326"/>
      <c r="L191" s="113"/>
    </row>
    <row r="192" spans="1:12" s="55" customFormat="1" ht="11.25">
      <c r="A192" s="59"/>
      <c r="B192" s="59"/>
      <c r="C192" s="59"/>
      <c r="D192" s="59"/>
      <c r="E192" s="59"/>
      <c r="F192" s="60"/>
      <c r="I192" s="245"/>
      <c r="J192" s="246"/>
      <c r="K192" s="326"/>
      <c r="L192" s="113"/>
    </row>
    <row r="193" spans="1:12" s="55" customFormat="1" ht="11.25">
      <c r="A193" s="59"/>
      <c r="B193" s="59"/>
      <c r="C193" s="59"/>
      <c r="D193" s="59"/>
      <c r="E193" s="59"/>
      <c r="F193" s="60"/>
      <c r="I193" s="245"/>
      <c r="J193" s="246"/>
      <c r="K193" s="326"/>
      <c r="L193" s="113"/>
    </row>
    <row r="194" spans="1:12" s="55" customFormat="1" ht="11.25">
      <c r="A194" s="59"/>
      <c r="B194" s="59"/>
      <c r="C194" s="59"/>
      <c r="D194" s="59"/>
      <c r="E194" s="59"/>
      <c r="F194" s="60"/>
      <c r="I194" s="245"/>
      <c r="J194" s="246"/>
      <c r="K194" s="326"/>
      <c r="L194" s="113"/>
    </row>
    <row r="195" spans="1:12" s="55" customFormat="1" ht="11.25">
      <c r="A195" s="59"/>
      <c r="B195" s="59"/>
      <c r="C195" s="59"/>
      <c r="D195" s="59"/>
      <c r="E195" s="59"/>
      <c r="F195" s="60"/>
      <c r="I195" s="245"/>
      <c r="J195" s="246"/>
      <c r="K195" s="326"/>
      <c r="L195" s="113"/>
    </row>
    <row r="196" spans="1:12" s="55" customFormat="1" ht="11.25">
      <c r="A196" s="59"/>
      <c r="B196" s="59"/>
      <c r="C196" s="59"/>
      <c r="D196" s="59"/>
      <c r="E196" s="59"/>
      <c r="F196" s="60"/>
      <c r="I196" s="245"/>
      <c r="J196" s="246"/>
      <c r="K196" s="326"/>
      <c r="L196" s="113"/>
    </row>
    <row r="197" spans="1:12" s="55" customFormat="1" ht="11.25">
      <c r="A197" s="59"/>
      <c r="B197" s="59"/>
      <c r="C197" s="59"/>
      <c r="D197" s="59"/>
      <c r="E197" s="59"/>
      <c r="F197" s="60"/>
      <c r="I197" s="245"/>
      <c r="J197" s="246"/>
      <c r="K197" s="326"/>
      <c r="L197" s="113"/>
    </row>
    <row r="198" spans="1:12" s="55" customFormat="1" ht="11.25">
      <c r="A198" s="59"/>
      <c r="B198" s="59"/>
      <c r="C198" s="59"/>
      <c r="D198" s="59"/>
      <c r="E198" s="59"/>
      <c r="F198" s="60"/>
      <c r="I198" s="245"/>
      <c r="J198" s="246"/>
      <c r="K198" s="326"/>
      <c r="L198" s="113"/>
    </row>
    <row r="199" spans="1:12" s="55" customFormat="1" ht="11.25">
      <c r="A199" s="59"/>
      <c r="B199" s="59"/>
      <c r="C199" s="59"/>
      <c r="D199" s="59"/>
      <c r="E199" s="59"/>
      <c r="F199" s="60"/>
      <c r="I199" s="245"/>
      <c r="J199" s="246"/>
      <c r="K199" s="326"/>
      <c r="L199" s="113"/>
    </row>
    <row r="200" spans="1:12" s="55" customFormat="1" ht="11.25">
      <c r="A200" s="59"/>
      <c r="B200" s="59"/>
      <c r="C200" s="59"/>
      <c r="D200" s="59"/>
      <c r="E200" s="59"/>
      <c r="F200" s="60"/>
      <c r="I200" s="245"/>
      <c r="J200" s="246"/>
      <c r="K200" s="326"/>
      <c r="L200" s="113"/>
    </row>
    <row r="201" spans="1:12" s="55" customFormat="1" ht="11.25">
      <c r="A201" s="59"/>
      <c r="B201" s="59"/>
      <c r="C201" s="59"/>
      <c r="D201" s="59"/>
      <c r="E201" s="59"/>
      <c r="F201" s="60"/>
      <c r="I201" s="245"/>
      <c r="J201" s="246"/>
      <c r="K201" s="326"/>
      <c r="L201" s="113"/>
    </row>
    <row r="202" spans="1:12" s="55" customFormat="1" ht="11.25">
      <c r="A202" s="59"/>
      <c r="B202" s="59"/>
      <c r="C202" s="59"/>
      <c r="D202" s="59"/>
      <c r="E202" s="59"/>
      <c r="F202" s="60"/>
      <c r="I202" s="245"/>
      <c r="J202" s="246"/>
      <c r="K202" s="326"/>
      <c r="L202" s="113"/>
    </row>
    <row r="203" spans="1:12" s="55" customFormat="1" ht="11.25">
      <c r="A203" s="59"/>
      <c r="B203" s="59"/>
      <c r="C203" s="59"/>
      <c r="D203" s="59"/>
      <c r="E203" s="59"/>
      <c r="F203" s="60"/>
      <c r="I203" s="245"/>
      <c r="J203" s="246"/>
      <c r="K203" s="326"/>
      <c r="L203" s="113"/>
    </row>
    <row r="204" spans="1:12" s="55" customFormat="1" ht="11.25">
      <c r="A204" s="59"/>
      <c r="B204" s="59"/>
      <c r="C204" s="59"/>
      <c r="D204" s="59"/>
      <c r="E204" s="59"/>
      <c r="F204" s="60"/>
      <c r="I204" s="245"/>
      <c r="J204" s="246"/>
      <c r="K204" s="326"/>
      <c r="L204" s="113"/>
    </row>
    <row r="205" spans="1:12" s="55" customFormat="1" ht="11.25">
      <c r="A205" s="59"/>
      <c r="B205" s="59"/>
      <c r="C205" s="59"/>
      <c r="D205" s="59"/>
      <c r="E205" s="59"/>
      <c r="F205" s="60"/>
      <c r="I205" s="245"/>
      <c r="J205" s="246"/>
      <c r="K205" s="326"/>
      <c r="L205" s="113"/>
    </row>
    <row r="206" spans="1:12" s="55" customFormat="1" ht="11.25">
      <c r="A206" s="59"/>
      <c r="B206" s="59"/>
      <c r="C206" s="59"/>
      <c r="D206" s="59"/>
      <c r="E206" s="59"/>
      <c r="F206" s="60"/>
      <c r="I206" s="245"/>
      <c r="J206" s="246"/>
      <c r="K206" s="326"/>
      <c r="L206" s="113"/>
    </row>
    <row r="207" spans="1:12" s="55" customFormat="1" ht="11.25">
      <c r="A207" s="59"/>
      <c r="B207" s="59"/>
      <c r="C207" s="59"/>
      <c r="D207" s="59"/>
      <c r="E207" s="59"/>
      <c r="F207" s="60"/>
      <c r="I207" s="245"/>
      <c r="J207" s="246"/>
      <c r="K207" s="326"/>
      <c r="L207" s="113"/>
    </row>
    <row r="208" spans="1:12" s="55" customFormat="1" ht="11.25">
      <c r="A208" s="59"/>
      <c r="B208" s="59"/>
      <c r="C208" s="59"/>
      <c r="D208" s="59"/>
      <c r="E208" s="59"/>
      <c r="F208" s="60"/>
      <c r="I208" s="245"/>
      <c r="J208" s="246"/>
      <c r="K208" s="326"/>
      <c r="L208" s="113"/>
    </row>
    <row r="209" spans="1:12" s="55" customFormat="1" ht="11.25">
      <c r="A209" s="59"/>
      <c r="B209" s="59"/>
      <c r="C209" s="59"/>
      <c r="D209" s="59"/>
      <c r="E209" s="59"/>
      <c r="F209" s="60"/>
      <c r="I209" s="245"/>
      <c r="J209" s="246"/>
      <c r="K209" s="326"/>
      <c r="L209" s="113"/>
    </row>
    <row r="210" spans="1:12" s="55" customFormat="1" ht="11.25">
      <c r="A210" s="59"/>
      <c r="B210" s="59"/>
      <c r="C210" s="59"/>
      <c r="D210" s="59"/>
      <c r="E210" s="59"/>
      <c r="F210" s="60"/>
      <c r="I210" s="245"/>
      <c r="J210" s="246"/>
      <c r="K210" s="326"/>
      <c r="L210" s="113"/>
    </row>
    <row r="211" spans="1:12" s="55" customFormat="1" ht="11.25">
      <c r="A211" s="59"/>
      <c r="B211" s="59"/>
      <c r="C211" s="59"/>
      <c r="D211" s="59"/>
      <c r="E211" s="59"/>
      <c r="F211" s="60"/>
      <c r="I211" s="245"/>
      <c r="J211" s="246"/>
      <c r="K211" s="326"/>
      <c r="L211" s="113"/>
    </row>
    <row r="212" spans="1:12" s="55" customFormat="1" ht="11.25">
      <c r="A212" s="59"/>
      <c r="B212" s="59"/>
      <c r="C212" s="59"/>
      <c r="D212" s="59"/>
      <c r="E212" s="59"/>
      <c r="F212" s="60"/>
      <c r="I212" s="245"/>
      <c r="J212" s="246"/>
      <c r="K212" s="326"/>
      <c r="L212" s="113"/>
    </row>
    <row r="213" spans="1:12" s="55" customFormat="1" ht="11.25">
      <c r="A213" s="59"/>
      <c r="B213" s="59"/>
      <c r="C213" s="59"/>
      <c r="D213" s="59"/>
      <c r="E213" s="59"/>
      <c r="F213" s="60"/>
      <c r="I213" s="245"/>
      <c r="J213" s="246"/>
      <c r="K213" s="326"/>
      <c r="L213" s="113"/>
    </row>
    <row r="214" spans="1:12" s="55" customFormat="1" ht="11.25">
      <c r="A214" s="59"/>
      <c r="B214" s="59"/>
      <c r="C214" s="59"/>
      <c r="D214" s="59"/>
      <c r="E214" s="59"/>
      <c r="F214" s="60"/>
      <c r="I214" s="245"/>
      <c r="J214" s="246"/>
      <c r="K214" s="326"/>
      <c r="L214" s="113"/>
    </row>
    <row r="215" spans="1:12" s="55" customFormat="1" ht="11.25">
      <c r="A215" s="59"/>
      <c r="B215" s="59"/>
      <c r="C215" s="59"/>
      <c r="D215" s="59"/>
      <c r="E215" s="59"/>
      <c r="F215" s="60"/>
      <c r="I215" s="245"/>
      <c r="J215" s="246"/>
      <c r="K215" s="326"/>
      <c r="L215" s="113"/>
    </row>
    <row r="216" spans="1:12" s="55" customFormat="1" ht="11.25">
      <c r="A216" s="59"/>
      <c r="B216" s="59"/>
      <c r="C216" s="59"/>
      <c r="D216" s="59"/>
      <c r="E216" s="59"/>
      <c r="F216" s="60"/>
      <c r="I216" s="245"/>
      <c r="J216" s="246"/>
      <c r="K216" s="326"/>
      <c r="L216" s="113"/>
    </row>
    <row r="217" spans="1:12" s="55" customFormat="1" ht="11.25">
      <c r="A217" s="59"/>
      <c r="B217" s="59"/>
      <c r="C217" s="59"/>
      <c r="D217" s="59"/>
      <c r="E217" s="59"/>
      <c r="F217" s="60"/>
      <c r="I217" s="245"/>
      <c r="J217" s="246"/>
      <c r="K217" s="326"/>
      <c r="L217" s="113"/>
    </row>
    <row r="218" spans="1:12" s="55" customFormat="1" ht="11.25">
      <c r="A218" s="59"/>
      <c r="B218" s="59"/>
      <c r="C218" s="59"/>
      <c r="D218" s="59"/>
      <c r="E218" s="59"/>
      <c r="F218" s="60"/>
      <c r="I218" s="245"/>
      <c r="J218" s="246"/>
      <c r="K218" s="326"/>
      <c r="L218" s="113"/>
    </row>
    <row r="219" spans="1:12" s="55" customFormat="1" ht="11.25">
      <c r="A219" s="59"/>
      <c r="B219" s="59"/>
      <c r="C219" s="59"/>
      <c r="D219" s="59"/>
      <c r="E219" s="59"/>
      <c r="F219" s="60"/>
      <c r="I219" s="245"/>
      <c r="J219" s="246"/>
      <c r="K219" s="326"/>
      <c r="L219" s="113"/>
    </row>
    <row r="220" spans="1:12" s="55" customFormat="1" ht="11.25">
      <c r="A220" s="59"/>
      <c r="B220" s="59"/>
      <c r="C220" s="59"/>
      <c r="D220" s="59"/>
      <c r="E220" s="59"/>
      <c r="F220" s="60"/>
      <c r="I220" s="245"/>
      <c r="J220" s="246"/>
      <c r="K220" s="326"/>
      <c r="L220" s="113"/>
    </row>
    <row r="221" ht="12.75">
      <c r="F221" s="21"/>
    </row>
    <row r="222" ht="12.75">
      <c r="F222" s="21"/>
    </row>
    <row r="223" ht="12.75">
      <c r="F223" s="21"/>
    </row>
    <row r="224" ht="12.75">
      <c r="F224" s="21"/>
    </row>
    <row r="225" ht="12.75">
      <c r="F225" s="21"/>
    </row>
    <row r="226" ht="12.75">
      <c r="F226" s="21"/>
    </row>
    <row r="227" ht="12.75">
      <c r="F227" s="21"/>
    </row>
    <row r="228" ht="12.75">
      <c r="F228" s="21"/>
    </row>
    <row r="229" ht="12.75">
      <c r="F229" s="21"/>
    </row>
    <row r="230" ht="12.75">
      <c r="F230" s="21"/>
    </row>
    <row r="231" ht="12.75">
      <c r="F231" s="21"/>
    </row>
    <row r="232" ht="12.75">
      <c r="F232" s="21"/>
    </row>
    <row r="233" ht="12.75">
      <c r="F233" s="21"/>
    </row>
    <row r="234" ht="12.75">
      <c r="F234" s="21"/>
    </row>
    <row r="235" ht="12.75">
      <c r="F235" s="21"/>
    </row>
    <row r="236" ht="12.75">
      <c r="F236" s="21"/>
    </row>
    <row r="237" ht="12.75">
      <c r="F237" s="21"/>
    </row>
    <row r="238" ht="12.75">
      <c r="F238" s="21"/>
    </row>
    <row r="239" ht="12.75">
      <c r="F239" s="21"/>
    </row>
    <row r="240" ht="12.75">
      <c r="F240" s="21"/>
    </row>
    <row r="241" ht="12.75">
      <c r="F241" s="21"/>
    </row>
    <row r="242" ht="12.75">
      <c r="F242" s="21"/>
    </row>
    <row r="243" ht="12.75">
      <c r="F243" s="21"/>
    </row>
    <row r="244" ht="12.75">
      <c r="F244" s="21"/>
    </row>
    <row r="245" ht="12.75">
      <c r="F245" s="21"/>
    </row>
    <row r="246" ht="12.75">
      <c r="F246" s="21"/>
    </row>
    <row r="247" ht="12.75">
      <c r="F247" s="21"/>
    </row>
    <row r="248" ht="12.75">
      <c r="F248" s="21"/>
    </row>
    <row r="249" ht="12.75">
      <c r="F249" s="21"/>
    </row>
    <row r="250" ht="12.75">
      <c r="F250" s="21"/>
    </row>
    <row r="251" ht="12.75">
      <c r="F251" s="21"/>
    </row>
    <row r="252" ht="12.75">
      <c r="F252" s="21"/>
    </row>
    <row r="253" ht="12.75">
      <c r="F253" s="21"/>
    </row>
    <row r="254" ht="12.75">
      <c r="F254" s="21"/>
    </row>
    <row r="255" ht="12.75">
      <c r="F255" s="21"/>
    </row>
    <row r="256" ht="12.75">
      <c r="F256" s="21"/>
    </row>
    <row r="257" ht="12.75">
      <c r="F257" s="21"/>
    </row>
    <row r="258" ht="12.75">
      <c r="F258" s="21"/>
    </row>
    <row r="259" ht="12.75">
      <c r="F259" s="21"/>
    </row>
    <row r="260" ht="12.75">
      <c r="F260" s="21"/>
    </row>
    <row r="261" ht="12.75">
      <c r="F261" s="21"/>
    </row>
    <row r="262" ht="12.75">
      <c r="F262" s="21"/>
    </row>
    <row r="263" ht="12.75">
      <c r="F263" s="21"/>
    </row>
    <row r="264" ht="12.75">
      <c r="F264" s="21"/>
    </row>
    <row r="265" ht="12.75">
      <c r="F265" s="21"/>
    </row>
    <row r="266" ht="12.75">
      <c r="F266" s="21"/>
    </row>
    <row r="267" ht="12.75">
      <c r="F267" s="21"/>
    </row>
    <row r="268" ht="12.75">
      <c r="F268" s="21"/>
    </row>
    <row r="269" ht="12.75">
      <c r="F269" s="21"/>
    </row>
    <row r="270" ht="12.75">
      <c r="F270" s="21"/>
    </row>
    <row r="271" ht="12.75">
      <c r="F271" s="21"/>
    </row>
    <row r="272" ht="12.75">
      <c r="F272" s="21"/>
    </row>
    <row r="273" ht="12.75">
      <c r="F273" s="21"/>
    </row>
    <row r="274" ht="12.75">
      <c r="F274" s="21"/>
    </row>
    <row r="275" ht="12.75">
      <c r="F275" s="21"/>
    </row>
    <row r="276" ht="12.75">
      <c r="F276" s="21"/>
    </row>
    <row r="277" ht="12.75">
      <c r="F277" s="21"/>
    </row>
    <row r="278" ht="12.75">
      <c r="F278" s="21"/>
    </row>
    <row r="279" ht="12.75">
      <c r="F279" s="21"/>
    </row>
    <row r="280" ht="12.75">
      <c r="F280" s="21"/>
    </row>
    <row r="281" ht="12.75">
      <c r="F281" s="21"/>
    </row>
    <row r="282" ht="12.75">
      <c r="F282" s="21"/>
    </row>
    <row r="283" ht="12.75">
      <c r="F283" s="21"/>
    </row>
    <row r="284" ht="12.75">
      <c r="F284" s="21"/>
    </row>
  </sheetData>
  <sheetProtection/>
  <mergeCells count="32">
    <mergeCell ref="A89:H89"/>
    <mergeCell ref="A93:H93"/>
    <mergeCell ref="A95:H95"/>
    <mergeCell ref="A101:H101"/>
    <mergeCell ref="C49:F49"/>
    <mergeCell ref="A163:H163"/>
    <mergeCell ref="D148:F148"/>
    <mergeCell ref="A165:H165"/>
    <mergeCell ref="A171:H171"/>
    <mergeCell ref="A127:H127"/>
    <mergeCell ref="A134:H134"/>
    <mergeCell ref="A138:H138"/>
    <mergeCell ref="D150:F150"/>
    <mergeCell ref="D151:F151"/>
    <mergeCell ref="D149:F149"/>
    <mergeCell ref="A159:H159"/>
    <mergeCell ref="D147:F147"/>
    <mergeCell ref="K105:L105"/>
    <mergeCell ref="A107:H108"/>
    <mergeCell ref="I107:I108"/>
    <mergeCell ref="J107:J108"/>
    <mergeCell ref="K107:L107"/>
    <mergeCell ref="D146:F146"/>
    <mergeCell ref="A105:J105"/>
    <mergeCell ref="A40:H40"/>
    <mergeCell ref="A4:J4"/>
    <mergeCell ref="C31:F31"/>
    <mergeCell ref="K4:L4"/>
    <mergeCell ref="A6:H7"/>
    <mergeCell ref="I6:I7"/>
    <mergeCell ref="J6:J7"/>
    <mergeCell ref="K6:L6"/>
  </mergeCells>
  <printOptions horizontalCentered="1"/>
  <pageMargins left="0.5" right="0.24" top="0.46" bottom="0.44" header="0.2755905511811024" footer="0.1968503937007874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="130" zoomScaleNormal="130" zoomScalePageLayoutView="0" workbookViewId="0" topLeftCell="A1">
      <pane xSplit="3" ySplit="5" topLeftCell="D96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F5" sqref="F5"/>
    </sheetView>
  </sheetViews>
  <sheetFormatPr defaultColWidth="9.140625" defaultRowHeight="12.75"/>
  <cols>
    <col min="1" max="2" width="3.421875" style="2" customWidth="1"/>
    <col min="3" max="3" width="79.57421875" style="0" bestFit="1" customWidth="1"/>
    <col min="4" max="6" width="11.421875" style="17" bestFit="1" customWidth="1"/>
    <col min="7" max="7" width="11.421875" style="98" bestFit="1" customWidth="1"/>
    <col min="9" max="9" width="11.28125" style="0" bestFit="1" customWidth="1"/>
    <col min="10" max="10" width="10.28125" style="0" bestFit="1" customWidth="1"/>
  </cols>
  <sheetData>
    <row r="1" spans="1:3" ht="15.75">
      <c r="A1" s="6"/>
      <c r="B1" s="6"/>
      <c r="C1" s="11"/>
    </row>
    <row r="2" spans="1:7" s="34" customFormat="1" ht="20.25">
      <c r="A2" s="396" t="s">
        <v>256</v>
      </c>
      <c r="B2" s="397"/>
      <c r="C2" s="397"/>
      <c r="D2" s="397"/>
      <c r="E2" s="398"/>
      <c r="F2" s="399" t="s">
        <v>257</v>
      </c>
      <c r="G2" s="399"/>
    </row>
    <row r="3" spans="1:7" s="34" customFormat="1" ht="13.5" thickBot="1">
      <c r="A3" s="35"/>
      <c r="B3" s="35"/>
      <c r="C3" s="36"/>
      <c r="D3" s="27"/>
      <c r="E3" s="27"/>
      <c r="F3" s="27"/>
      <c r="G3" s="90"/>
    </row>
    <row r="4" spans="1:7" s="34" customFormat="1" ht="12.75" customHeight="1">
      <c r="A4" s="400" t="s">
        <v>641</v>
      </c>
      <c r="B4" s="401"/>
      <c r="C4" s="401"/>
      <c r="D4" s="363" t="s">
        <v>644</v>
      </c>
      <c r="E4" s="363" t="s">
        <v>645</v>
      </c>
      <c r="F4" s="365" t="s">
        <v>646</v>
      </c>
      <c r="G4" s="366"/>
    </row>
    <row r="5" spans="1:7" s="34" customFormat="1" ht="12.75">
      <c r="A5" s="402"/>
      <c r="B5" s="403"/>
      <c r="C5" s="403"/>
      <c r="D5" s="364"/>
      <c r="E5" s="364"/>
      <c r="F5" s="217" t="s">
        <v>258</v>
      </c>
      <c r="G5" s="91" t="s">
        <v>259</v>
      </c>
    </row>
    <row r="6" spans="1:7" ht="12.75">
      <c r="A6" s="40"/>
      <c r="B6" s="29"/>
      <c r="C6" s="4"/>
      <c r="D6" s="18"/>
      <c r="E6" s="18"/>
      <c r="F6" s="18"/>
      <c r="G6" s="92"/>
    </row>
    <row r="7" spans="1:7" ht="12.75">
      <c r="A7" s="41" t="s">
        <v>198</v>
      </c>
      <c r="B7" s="28"/>
      <c r="C7" s="7" t="s">
        <v>199</v>
      </c>
      <c r="D7" s="15"/>
      <c r="E7" s="15"/>
      <c r="F7" s="15"/>
      <c r="G7" s="93"/>
    </row>
    <row r="8" spans="1:7" ht="12.75">
      <c r="A8" s="41"/>
      <c r="B8" s="28"/>
      <c r="C8" s="8"/>
      <c r="D8" s="15"/>
      <c r="E8" s="15"/>
      <c r="F8" s="15"/>
      <c r="G8" s="93"/>
    </row>
    <row r="9" spans="1:7" s="100" customFormat="1" ht="12.75">
      <c r="A9" s="41">
        <v>1</v>
      </c>
      <c r="B9" s="7" t="s">
        <v>200</v>
      </c>
      <c r="C9" s="7"/>
      <c r="D9" s="99">
        <f>D10+D11+D18+D23</f>
        <v>32940062</v>
      </c>
      <c r="E9" s="99">
        <f>E10+E11+E18+E23</f>
        <v>31359860</v>
      </c>
      <c r="F9" s="99">
        <f aca="true" t="shared" si="0" ref="F9:F35">D9-E9</f>
        <v>1580202</v>
      </c>
      <c r="G9" s="102">
        <f aca="true" t="shared" si="1" ref="G9:G35">IF(E9=0,"-    ",F9/E9)</f>
        <v>0.0504</v>
      </c>
    </row>
    <row r="10" spans="1:7" ht="12.75">
      <c r="A10" s="42"/>
      <c r="B10" s="5" t="s">
        <v>610</v>
      </c>
      <c r="C10" s="5"/>
      <c r="D10" s="12">
        <f>'Alimentazione CE Ricavi'!H7+'Alimentazione CE Ricavi'!H8+'Alimentazione CE Ricavi'!H9+'Alimentazione CE Ricavi'!H11+'Alimentazione CE Ricavi'!H12+'Alimentazione CE Ricavi'!H13</f>
        <v>20897681</v>
      </c>
      <c r="E10" s="12">
        <f>'Alimentazione CE Ricavi'!I7+'Alimentazione CE Ricavi'!I8+'Alimentazione CE Ricavi'!I9+'Alimentazione CE Ricavi'!I11+'Alimentazione CE Ricavi'!I12+'Alimentazione CE Ricavi'!I13</f>
        <v>11501133</v>
      </c>
      <c r="F10" s="12">
        <f t="shared" si="0"/>
        <v>9396548</v>
      </c>
      <c r="G10" s="94">
        <f t="shared" si="1"/>
        <v>0.817</v>
      </c>
    </row>
    <row r="11" spans="1:7" ht="12.75">
      <c r="A11" s="41"/>
      <c r="B11" s="5" t="s">
        <v>609</v>
      </c>
      <c r="C11" s="5"/>
      <c r="D11" s="12">
        <f>SUM(D12:D17)</f>
        <v>744147</v>
      </c>
      <c r="E11" s="12">
        <f>SUM(E12:E17)</f>
        <v>879505</v>
      </c>
      <c r="F11" s="12">
        <f t="shared" si="0"/>
        <v>-135358</v>
      </c>
      <c r="G11" s="94">
        <f t="shared" si="1"/>
        <v>-0.1539</v>
      </c>
    </row>
    <row r="12" spans="1:7" ht="12.75">
      <c r="A12" s="41"/>
      <c r="B12" s="32"/>
      <c r="C12" s="32" t="s">
        <v>261</v>
      </c>
      <c r="D12" s="31">
        <f>'Alimentazione CE Ricavi'!H17+'Alimentazione CE Ricavi'!H18+'Alimentazione CE Ricavi'!H19+'Alimentazione CE Ricavi'!H20+'Alimentazione CE Ricavi'!H21+'Alimentazione CE Ricavi'!H22</f>
        <v>216035</v>
      </c>
      <c r="E12" s="31">
        <f>'Alimentazione CE Ricavi'!I17+'Alimentazione CE Ricavi'!I18+'Alimentazione CE Ricavi'!I19+'Alimentazione CE Ricavi'!I20+'Alimentazione CE Ricavi'!I21+'Alimentazione CE Ricavi'!I22</f>
        <v>599607</v>
      </c>
      <c r="F12" s="12">
        <f t="shared" si="0"/>
        <v>-383572</v>
      </c>
      <c r="G12" s="94">
        <f t="shared" si="1"/>
        <v>-0.6397</v>
      </c>
    </row>
    <row r="13" spans="1:7" ht="12.75">
      <c r="A13" s="42"/>
      <c r="B13" s="32"/>
      <c r="C13" s="32" t="s">
        <v>262</v>
      </c>
      <c r="D13" s="31">
        <f>'Alimentazione CE Ricavi'!H23</f>
        <v>0</v>
      </c>
      <c r="E13" s="31">
        <f>'Alimentazione CE Ricavi'!I23</f>
        <v>0</v>
      </c>
      <c r="F13" s="12">
        <f t="shared" si="0"/>
        <v>0</v>
      </c>
      <c r="G13" s="94" t="str">
        <f t="shared" si="1"/>
        <v>-    </v>
      </c>
    </row>
    <row r="14" spans="1:7" ht="12.75">
      <c r="A14" s="41"/>
      <c r="B14" s="32"/>
      <c r="C14" s="32" t="s">
        <v>263</v>
      </c>
      <c r="D14" s="31">
        <f>'Alimentazione CE Ricavi'!H24</f>
        <v>0</v>
      </c>
      <c r="E14" s="31">
        <f>'Alimentazione CE Ricavi'!I24</f>
        <v>0</v>
      </c>
      <c r="F14" s="12">
        <f t="shared" si="0"/>
        <v>0</v>
      </c>
      <c r="G14" s="94" t="str">
        <f t="shared" si="1"/>
        <v>-    </v>
      </c>
    </row>
    <row r="15" spans="1:7" ht="12.75">
      <c r="A15" s="42"/>
      <c r="B15" s="32"/>
      <c r="C15" s="32" t="s">
        <v>264</v>
      </c>
      <c r="D15" s="31">
        <f>'Alimentazione CE Ricavi'!H25</f>
        <v>317315</v>
      </c>
      <c r="E15" s="31">
        <f>'Alimentazione CE Ricavi'!I25</f>
        <v>0</v>
      </c>
      <c r="F15" s="12">
        <f t="shared" si="0"/>
        <v>317315</v>
      </c>
      <c r="G15" s="94" t="str">
        <f t="shared" si="1"/>
        <v>-    </v>
      </c>
    </row>
    <row r="16" spans="1:7" ht="12.75">
      <c r="A16" s="42"/>
      <c r="B16" s="32"/>
      <c r="C16" s="32" t="s">
        <v>265</v>
      </c>
      <c r="D16" s="31">
        <f>'Alimentazione CE Ricavi'!H27+'Alimentazione CE Ricavi'!H28</f>
        <v>0</v>
      </c>
      <c r="E16" s="31">
        <f>'Alimentazione CE Ricavi'!I27+'Alimentazione CE Ricavi'!I28</f>
        <v>0</v>
      </c>
      <c r="F16" s="12">
        <f t="shared" si="0"/>
        <v>0</v>
      </c>
      <c r="G16" s="94" t="str">
        <f t="shared" si="1"/>
        <v>-    </v>
      </c>
    </row>
    <row r="17" spans="1:7" ht="12.75">
      <c r="A17" s="41"/>
      <c r="B17" s="32"/>
      <c r="C17" s="32" t="s">
        <v>266</v>
      </c>
      <c r="D17" s="31">
        <f>'Alimentazione CE Ricavi'!H31+'Alimentazione CE Ricavi'!H32+'Alimentazione CE Ricavi'!H33+'Alimentazione CE Ricavi'!H34+'Alimentazione CE Ricavi'!H35+'Alimentazione CE Ricavi'!H36+'Alimentazione CE Ricavi'!H37+'Alimentazione CE Ricavi'!H38</f>
        <v>210797</v>
      </c>
      <c r="E17" s="31">
        <f>'Alimentazione CE Ricavi'!I31+'Alimentazione CE Ricavi'!I32+'Alimentazione CE Ricavi'!I33+'Alimentazione CE Ricavi'!I34+'Alimentazione CE Ricavi'!I35+'Alimentazione CE Ricavi'!I36+'Alimentazione CE Ricavi'!I37+'Alimentazione CE Ricavi'!I38</f>
        <v>279898</v>
      </c>
      <c r="F17" s="12">
        <f t="shared" si="0"/>
        <v>-69101</v>
      </c>
      <c r="G17" s="94">
        <f t="shared" si="1"/>
        <v>-0.2469</v>
      </c>
    </row>
    <row r="18" spans="1:7" ht="12.75">
      <c r="A18" s="42"/>
      <c r="B18" s="32" t="s">
        <v>608</v>
      </c>
      <c r="C18" s="32"/>
      <c r="D18" s="31">
        <f>SUM(D19:D22)</f>
        <v>11298234</v>
      </c>
      <c r="E18" s="31">
        <f>SUM(E19:E22)</f>
        <v>18979222</v>
      </c>
      <c r="F18" s="12">
        <f t="shared" si="0"/>
        <v>-7680988</v>
      </c>
      <c r="G18" s="94">
        <f t="shared" si="1"/>
        <v>-0.4047</v>
      </c>
    </row>
    <row r="19" spans="1:7" ht="12.75">
      <c r="A19" s="42"/>
      <c r="B19" s="32"/>
      <c r="C19" s="32" t="s">
        <v>267</v>
      </c>
      <c r="D19" s="31">
        <f>'Alimentazione CE Ricavi'!H40</f>
        <v>3592483</v>
      </c>
      <c r="E19" s="31">
        <f>'Alimentazione CE Ricavi'!I40</f>
        <v>3689608</v>
      </c>
      <c r="F19" s="12">
        <f t="shared" si="0"/>
        <v>-97125</v>
      </c>
      <c r="G19" s="94">
        <f t="shared" si="1"/>
        <v>-0.0263</v>
      </c>
    </row>
    <row r="20" spans="1:7" ht="12.75">
      <c r="A20" s="42"/>
      <c r="B20" s="32"/>
      <c r="C20" s="32" t="s">
        <v>268</v>
      </c>
      <c r="D20" s="31">
        <f>'Alimentazione CE Ricavi'!H41</f>
        <v>1200857</v>
      </c>
      <c r="E20" s="31">
        <f>'Alimentazione CE Ricavi'!I41</f>
        <v>3157743</v>
      </c>
      <c r="F20" s="12">
        <f t="shared" si="0"/>
        <v>-1956886</v>
      </c>
      <c r="G20" s="94">
        <f t="shared" si="1"/>
        <v>-0.6197</v>
      </c>
    </row>
    <row r="21" spans="1:7" ht="12.75">
      <c r="A21" s="42"/>
      <c r="B21" s="32"/>
      <c r="C21" s="32" t="s">
        <v>269</v>
      </c>
      <c r="D21" s="31">
        <f>'Alimentazione CE Ricavi'!H43+'Alimentazione CE Ricavi'!H44</f>
        <v>1300798</v>
      </c>
      <c r="E21" s="31">
        <f>'Alimentazione CE Ricavi'!I43+'Alimentazione CE Ricavi'!I44</f>
        <v>9686646</v>
      </c>
      <c r="F21" s="12">
        <f t="shared" si="0"/>
        <v>-8385848</v>
      </c>
      <c r="G21" s="94">
        <f t="shared" si="1"/>
        <v>-0.8657</v>
      </c>
    </row>
    <row r="22" spans="1:7" ht="12.75">
      <c r="A22" s="42"/>
      <c r="B22" s="32"/>
      <c r="C22" s="32" t="s">
        <v>270</v>
      </c>
      <c r="D22" s="31">
        <f>'Alimentazione CE Ricavi'!H45</f>
        <v>5204096</v>
      </c>
      <c r="E22" s="31">
        <f>'Alimentazione CE Ricavi'!I45</f>
        <v>2445225</v>
      </c>
      <c r="F22" s="12">
        <f t="shared" si="0"/>
        <v>2758871</v>
      </c>
      <c r="G22" s="94">
        <f t="shared" si="1"/>
        <v>1.1283</v>
      </c>
    </row>
    <row r="23" spans="1:7" ht="12.75">
      <c r="A23" s="42"/>
      <c r="B23" s="32" t="s">
        <v>607</v>
      </c>
      <c r="C23" s="32"/>
      <c r="D23" s="31">
        <f>'Alimentazione CE Ricavi'!H46</f>
        <v>0</v>
      </c>
      <c r="E23" s="31">
        <f>'Alimentazione CE Ricavi'!I46</f>
        <v>0</v>
      </c>
      <c r="F23" s="12">
        <f t="shared" si="0"/>
        <v>0</v>
      </c>
      <c r="G23" s="94" t="str">
        <f t="shared" si="1"/>
        <v>-    </v>
      </c>
    </row>
    <row r="24" spans="1:7" s="100" customFormat="1" ht="12.75">
      <c r="A24" s="41">
        <v>2</v>
      </c>
      <c r="B24" s="7" t="s">
        <v>271</v>
      </c>
      <c r="C24" s="7"/>
      <c r="D24" s="99">
        <f>'Alimentazione CE Ricavi'!H48+'Alimentazione CE Ricavi'!H49</f>
        <v>0</v>
      </c>
      <c r="E24" s="99">
        <f>'Alimentazione CE Ricavi'!I48+'Alimentazione CE Ricavi'!I49</f>
        <v>0</v>
      </c>
      <c r="F24" s="99">
        <f t="shared" si="0"/>
        <v>0</v>
      </c>
      <c r="G24" s="102" t="str">
        <f t="shared" si="1"/>
        <v>-    </v>
      </c>
    </row>
    <row r="25" spans="1:7" s="100" customFormat="1" ht="12.75">
      <c r="A25" s="41">
        <v>3</v>
      </c>
      <c r="B25" s="7" t="s">
        <v>272</v>
      </c>
      <c r="C25" s="7"/>
      <c r="D25" s="99">
        <f>'Alimentazione CE Ricavi'!H51+'Alimentazione CE Ricavi'!H52+'Alimentazione CE Ricavi'!H53+'Alimentazione CE Ricavi'!H54</f>
        <v>4589493</v>
      </c>
      <c r="E25" s="99">
        <f>'Alimentazione CE Ricavi'!I51+'Alimentazione CE Ricavi'!I52+'Alimentazione CE Ricavi'!I53+'Alimentazione CE Ricavi'!I54</f>
        <v>0</v>
      </c>
      <c r="F25" s="99">
        <f t="shared" si="0"/>
        <v>4589493</v>
      </c>
      <c r="G25" s="102" t="str">
        <f t="shared" si="1"/>
        <v>-    </v>
      </c>
    </row>
    <row r="26" spans="1:7" s="100" customFormat="1" ht="12.75">
      <c r="A26" s="41">
        <v>4</v>
      </c>
      <c r="B26" s="7" t="s">
        <v>273</v>
      </c>
      <c r="C26" s="7"/>
      <c r="D26" s="99">
        <f>SUM(D27:D29)</f>
        <v>59660140</v>
      </c>
      <c r="E26" s="99">
        <f>SUM(E27:E29)</f>
        <v>53033456</v>
      </c>
      <c r="F26" s="99">
        <f t="shared" si="0"/>
        <v>6626684</v>
      </c>
      <c r="G26" s="102">
        <f t="shared" si="1"/>
        <v>0.125</v>
      </c>
    </row>
    <row r="27" spans="1:7" ht="12.75">
      <c r="A27" s="41"/>
      <c r="B27" s="5" t="s">
        <v>612</v>
      </c>
      <c r="C27" s="38"/>
      <c r="D27" s="12">
        <f>'Alimentazione CE Ricavi'!H59+'Alimentazione CE Ricavi'!H60+'Alimentazione CE Ricavi'!H62+'Alimentazione CE Ricavi'!H63+'Alimentazione CE Ricavi'!H64+'Alimentazione CE Ricavi'!H65+'Alimentazione CE Ricavi'!H66+'Alimentazione CE Ricavi'!H67+'Alimentazione CE Ricavi'!H68+'Alimentazione CE Ricavi'!H69+'Alimentazione CE Ricavi'!H71+'Alimentazione CE Ricavi'!H72+'Alimentazione CE Ricavi'!H73+'Alimentazione CE Ricavi'!H76+'Alimentazione CE Ricavi'!H77+'Alimentazione CE Ricavi'!H79+'Alimentazione CE Ricavi'!H80+'Alimentazione CE Ricavi'!H81+'Alimentazione CE Ricavi'!H82+'Alimentazione CE Ricavi'!H83+'Alimentazione CE Ricavi'!H84+'Alimentazione CE Ricavi'!H85+'Alimentazione CE Ricavi'!H86+'Alimentazione CE Ricavi'!H87+'Alimentazione CE Ricavi'!H88+'Alimentazione CE Ricavi'!H89+'Alimentazione CE Ricavi'!H91+'Alimentazione CE Ricavi'!H93+'Alimentazione CE Ricavi'!H94+'Alimentazione CE Ricavi'!H95</f>
        <v>57236082</v>
      </c>
      <c r="E27" s="12">
        <f>'Alimentazione CE Ricavi'!I59+'Alimentazione CE Ricavi'!I60+'Alimentazione CE Ricavi'!I62+'Alimentazione CE Ricavi'!I63+'Alimentazione CE Ricavi'!I64+'Alimentazione CE Ricavi'!I65+'Alimentazione CE Ricavi'!I66+'Alimentazione CE Ricavi'!I67+'Alimentazione CE Ricavi'!I68+'Alimentazione CE Ricavi'!I69+'Alimentazione CE Ricavi'!I71+'Alimentazione CE Ricavi'!I72+'Alimentazione CE Ricavi'!I73+'Alimentazione CE Ricavi'!I76+'Alimentazione CE Ricavi'!I77+'Alimentazione CE Ricavi'!I79+'Alimentazione CE Ricavi'!I80+'Alimentazione CE Ricavi'!I81+'Alimentazione CE Ricavi'!I82+'Alimentazione CE Ricavi'!I83+'Alimentazione CE Ricavi'!I84+'Alimentazione CE Ricavi'!I85+'Alimentazione CE Ricavi'!I86+'Alimentazione CE Ricavi'!I87+'Alimentazione CE Ricavi'!I88+'Alimentazione CE Ricavi'!I89+'Alimentazione CE Ricavi'!I91+'Alimentazione CE Ricavi'!I93+'Alimentazione CE Ricavi'!I94+'Alimentazione CE Ricavi'!I95</f>
        <v>51234917</v>
      </c>
      <c r="F27" s="12">
        <f t="shared" si="0"/>
        <v>6001165</v>
      </c>
      <c r="G27" s="94">
        <f t="shared" si="1"/>
        <v>0.1171</v>
      </c>
    </row>
    <row r="28" spans="1:7" ht="12.75">
      <c r="A28" s="42"/>
      <c r="B28" s="5" t="s">
        <v>606</v>
      </c>
      <c r="C28" s="38"/>
      <c r="D28" s="12">
        <f>'Alimentazione CE Ricavi'!H139+'Alimentazione CE Ricavi'!H140+'Alimentazione CE Ricavi'!H141+'Alimentazione CE Ricavi'!H142+'Alimentazione CE Ricavi'!H143+'Alimentazione CE Ricavi'!H144+'Alimentazione CE Ricavi'!H145</f>
        <v>1382334</v>
      </c>
      <c r="E28" s="12">
        <f>'Alimentazione CE Ricavi'!I139+'Alimentazione CE Ricavi'!I140+'Alimentazione CE Ricavi'!I141+'Alimentazione CE Ricavi'!I142+'Alimentazione CE Ricavi'!I143+'Alimentazione CE Ricavi'!I144+'Alimentazione CE Ricavi'!I145</f>
        <v>1417526</v>
      </c>
      <c r="F28" s="12">
        <f t="shared" si="0"/>
        <v>-35192</v>
      </c>
      <c r="G28" s="94">
        <f t="shared" si="1"/>
        <v>-0.0248</v>
      </c>
    </row>
    <row r="29" spans="1:7" ht="12.75">
      <c r="A29" s="41"/>
      <c r="B29" s="5" t="s">
        <v>611</v>
      </c>
      <c r="C29" s="38"/>
      <c r="D29" s="12">
        <f>'Alimentazione CE Ricavi'!H97+'Alimentazione CE Ricavi'!H98+'Alimentazione CE Ricavi'!H99+'Alimentazione CE Ricavi'!H100+'Alimentazione CE Ricavi'!H103+'Alimentazione CE Ricavi'!H104+'Alimentazione CE Ricavi'!H105+'Alimentazione CE Ricavi'!H106+'Alimentazione CE Ricavi'!H107+'Alimentazione CE Ricavi'!H108+'Alimentazione CE Ricavi'!H109+'Alimentazione CE Ricavi'!H111+'Alimentazione CE Ricavi'!H112+'Alimentazione CE Ricavi'!H113+'Alimentazione CE Ricavi'!H114+'Alimentazione CE Ricavi'!H115+'Alimentazione CE Ricavi'!H116+'Alimentazione CE Ricavi'!H117+'Alimentazione CE Ricavi'!H118+'Alimentazione CE Ricavi'!H119+'Alimentazione CE Ricavi'!H120+'Alimentazione CE Ricavi'!H121+'Alimentazione CE Ricavi'!H122+'Alimentazione CE Ricavi'!H123+'Alimentazione CE Ricavi'!H124+'Alimentazione CE Ricavi'!H126+'Alimentazione CE Ricavi'!H127+'Alimentazione CE Ricavi'!H128+'Alimentazione CE Ricavi'!H129+'Alimentazione CE Ricavi'!H130+'Alimentazione CE Ricavi'!H131+'Alimentazione CE Ricavi'!H132+'Alimentazione CE Ricavi'!H133+'Alimentazione CE Ricavi'!H134+'Alimentazione CE Ricavi'!H136+'Alimentazione CE Ricavi'!H137</f>
        <v>1041724</v>
      </c>
      <c r="E29" s="12">
        <f>'Alimentazione CE Ricavi'!I97+'Alimentazione CE Ricavi'!I98+'Alimentazione CE Ricavi'!I99+'Alimentazione CE Ricavi'!I100+'Alimentazione CE Ricavi'!I103+'Alimentazione CE Ricavi'!I104+'Alimentazione CE Ricavi'!I105+'Alimentazione CE Ricavi'!I106+'Alimentazione CE Ricavi'!I107+'Alimentazione CE Ricavi'!I108+'Alimentazione CE Ricavi'!I109+'Alimentazione CE Ricavi'!I111+'Alimentazione CE Ricavi'!I112+'Alimentazione CE Ricavi'!I113+'Alimentazione CE Ricavi'!I114+'Alimentazione CE Ricavi'!I115+'Alimentazione CE Ricavi'!I116+'Alimentazione CE Ricavi'!I117+'Alimentazione CE Ricavi'!I118+'Alimentazione CE Ricavi'!I119+'Alimentazione CE Ricavi'!I120+'Alimentazione CE Ricavi'!I121+'Alimentazione CE Ricavi'!I122+'Alimentazione CE Ricavi'!I123+'Alimentazione CE Ricavi'!I124+'Alimentazione CE Ricavi'!I126+'Alimentazione CE Ricavi'!I127+'Alimentazione CE Ricavi'!I128+'Alimentazione CE Ricavi'!I129+'Alimentazione CE Ricavi'!I130+'Alimentazione CE Ricavi'!I131+'Alimentazione CE Ricavi'!I132+'Alimentazione CE Ricavi'!I133+'Alimentazione CE Ricavi'!I134+'Alimentazione CE Ricavi'!I136+'Alimentazione CE Ricavi'!I137</f>
        <v>381013</v>
      </c>
      <c r="F29" s="12">
        <f t="shared" si="0"/>
        <v>660711</v>
      </c>
      <c r="G29" s="94">
        <f t="shared" si="1"/>
        <v>1.7341</v>
      </c>
    </row>
    <row r="30" spans="1:7" s="100" customFormat="1" ht="12.75">
      <c r="A30" s="41">
        <v>5</v>
      </c>
      <c r="B30" s="7" t="s">
        <v>274</v>
      </c>
      <c r="C30" s="7"/>
      <c r="D30" s="99">
        <f>'Alimentazione CE Ricavi'!H147+'Alimentazione CE Ricavi'!H149+'Alimentazione CE Ricavi'!H150+'Alimentazione CE Ricavi'!H152+'Alimentazione CE Ricavi'!H153+'Alimentazione CE Ricavi'!H155+'Alimentazione CE Ricavi'!H156+'Alimentazione CE Ricavi'!H157+'Alimentazione CE Ricavi'!H159+'Alimentazione CE Ricavi'!H160+'Alimentazione CE Ricavi'!H162+'Alimentazione CE Ricavi'!H163+'Alimentazione CE Ricavi'!H164+'Alimentazione CE Ricavi'!H165+'Alimentazione CE Ricavi'!H166+'Alimentazione CE Ricavi'!H167+'Alimentazione CE Ricavi'!H170+'Alimentazione CE Ricavi'!H171+'Alimentazione CE Ricavi'!H172+'Alimentazione CE Ricavi'!H174+'Alimentazione CE Ricavi'!H175+'Alimentazione CE Ricavi'!H176+'Alimentazione CE Ricavi'!H177+'Alimentazione CE Ricavi'!H178+'Alimentazione CE Ricavi'!H179+'Alimentazione CE Ricavi'!H180+'Alimentazione CE Ricavi'!H181+'Alimentazione CE Ricavi'!H182+'Alimentazione CE Ricavi'!H183+'Alimentazione CE Ricavi'!H184+'Alimentazione CE Ricavi'!H185+'Alimentazione CE Ricavi'!H186</f>
        <v>815998</v>
      </c>
      <c r="E30" s="99">
        <f>'Alimentazione CE Ricavi'!I147+'Alimentazione CE Ricavi'!I149+'Alimentazione CE Ricavi'!I150+'Alimentazione CE Ricavi'!I152+'Alimentazione CE Ricavi'!I153+'Alimentazione CE Ricavi'!I155+'Alimentazione CE Ricavi'!I156+'Alimentazione CE Ricavi'!I157+'Alimentazione CE Ricavi'!I159+'Alimentazione CE Ricavi'!I160+'Alimentazione CE Ricavi'!I162+'Alimentazione CE Ricavi'!I163+'Alimentazione CE Ricavi'!I164+'Alimentazione CE Ricavi'!I165+'Alimentazione CE Ricavi'!I166+'Alimentazione CE Ricavi'!I167+'Alimentazione CE Ricavi'!I170+'Alimentazione CE Ricavi'!I171+'Alimentazione CE Ricavi'!I172+'Alimentazione CE Ricavi'!I174+'Alimentazione CE Ricavi'!I175+'Alimentazione CE Ricavi'!I176+'Alimentazione CE Ricavi'!I177+'Alimentazione CE Ricavi'!I178+'Alimentazione CE Ricavi'!I179+'Alimentazione CE Ricavi'!I180+'Alimentazione CE Ricavi'!I181+'Alimentazione CE Ricavi'!I182+'Alimentazione CE Ricavi'!I183+'Alimentazione CE Ricavi'!I184+'Alimentazione CE Ricavi'!I185+'Alimentazione CE Ricavi'!I186</f>
        <v>484118</v>
      </c>
      <c r="F30" s="99">
        <f t="shared" si="0"/>
        <v>331880</v>
      </c>
      <c r="G30" s="102">
        <f t="shared" si="1"/>
        <v>0.6855</v>
      </c>
    </row>
    <row r="31" spans="1:7" s="100" customFormat="1" ht="12.75">
      <c r="A31" s="41">
        <v>6</v>
      </c>
      <c r="B31" s="7" t="s">
        <v>278</v>
      </c>
      <c r="C31" s="7"/>
      <c r="D31" s="99">
        <f>'Alimentazione CE Ricavi'!H188+'Alimentazione CE Ricavi'!H189+'Alimentazione CE Ricavi'!H190</f>
        <v>819826</v>
      </c>
      <c r="E31" s="99">
        <f>'Alimentazione CE Ricavi'!I188+'Alimentazione CE Ricavi'!I189+'Alimentazione CE Ricavi'!I190</f>
        <v>826766</v>
      </c>
      <c r="F31" s="99">
        <f t="shared" si="0"/>
        <v>-6940</v>
      </c>
      <c r="G31" s="102">
        <f t="shared" si="1"/>
        <v>-0.0084</v>
      </c>
    </row>
    <row r="32" spans="1:7" s="100" customFormat="1" ht="12.75">
      <c r="A32" s="41">
        <v>7</v>
      </c>
      <c r="B32" s="7" t="s">
        <v>275</v>
      </c>
      <c r="C32" s="7"/>
      <c r="D32" s="99">
        <f>'Alimentazione CE Ricavi'!H192+'Alimentazione CE Ricavi'!H193+'Alimentazione CE Ricavi'!H194+'Alimentazione CE Ricavi'!H195+'Alimentazione CE Ricavi'!H196+'Alimentazione CE Ricavi'!H197</f>
        <v>4849811</v>
      </c>
      <c r="E32" s="99">
        <f>'Alimentazione CE Ricavi'!I192+'Alimentazione CE Ricavi'!I193+'Alimentazione CE Ricavi'!I194+'Alimentazione CE Ricavi'!I195+'Alimentazione CE Ricavi'!I196+'Alimentazione CE Ricavi'!I197</f>
        <v>4870094</v>
      </c>
      <c r="F32" s="99">
        <f t="shared" si="0"/>
        <v>-20283</v>
      </c>
      <c r="G32" s="102">
        <f t="shared" si="1"/>
        <v>-0.0042</v>
      </c>
    </row>
    <row r="33" spans="1:7" s="100" customFormat="1" ht="12.75">
      <c r="A33" s="41">
        <v>8</v>
      </c>
      <c r="B33" s="7" t="s">
        <v>276</v>
      </c>
      <c r="C33" s="7"/>
      <c r="D33" s="101">
        <f>'Alimentazione CE Ricavi'!H198</f>
        <v>0</v>
      </c>
      <c r="E33" s="101">
        <f>'Alimentazione CE Ricavi'!I198</f>
        <v>0</v>
      </c>
      <c r="F33" s="101">
        <f t="shared" si="0"/>
        <v>0</v>
      </c>
      <c r="G33" s="102" t="str">
        <f t="shared" si="1"/>
        <v>-    </v>
      </c>
    </row>
    <row r="34" spans="1:7" s="100" customFormat="1" ht="12.75">
      <c r="A34" s="41">
        <v>9</v>
      </c>
      <c r="B34" s="7" t="s">
        <v>277</v>
      </c>
      <c r="C34" s="7"/>
      <c r="D34" s="101">
        <f>'Alimentazione CE Ricavi'!H201+'Alimentazione CE Ricavi'!H202+'Alimentazione CE Ricavi'!H203+'Alimentazione CE Ricavi'!H205+'Alimentazione CE Ricavi'!H206+'Alimentazione CE Ricavi'!H207+'Alimentazione CE Ricavi'!H209+'Alimentazione CE Ricavi'!H210+'Alimentazione CE Ricavi'!H211</f>
        <v>158758</v>
      </c>
      <c r="E34" s="101">
        <f>'Alimentazione CE Ricavi'!I201+'Alimentazione CE Ricavi'!I202+'Alimentazione CE Ricavi'!I203+'Alimentazione CE Ricavi'!I205+'Alimentazione CE Ricavi'!I206+'Alimentazione CE Ricavi'!I207+'Alimentazione CE Ricavi'!I209+'Alimentazione CE Ricavi'!I210+'Alimentazione CE Ricavi'!I211</f>
        <v>396398</v>
      </c>
      <c r="F34" s="101">
        <f t="shared" si="0"/>
        <v>-237640</v>
      </c>
      <c r="G34" s="102">
        <f t="shared" si="1"/>
        <v>-0.5995</v>
      </c>
    </row>
    <row r="35" spans="1:7" s="100" customFormat="1" ht="12.75">
      <c r="A35" s="394" t="s">
        <v>279</v>
      </c>
      <c r="B35" s="395"/>
      <c r="C35" s="395"/>
      <c r="D35" s="103">
        <f>D9+D24+D25+D26+SUM(D30:D34)</f>
        <v>103834088</v>
      </c>
      <c r="E35" s="103">
        <f>E9+E24+E25+E26+SUM(E30:E34)</f>
        <v>90970692</v>
      </c>
      <c r="F35" s="103">
        <f t="shared" si="0"/>
        <v>12863396</v>
      </c>
      <c r="G35" s="104">
        <f t="shared" si="1"/>
        <v>0.1414</v>
      </c>
    </row>
    <row r="36" spans="1:7" ht="12.75">
      <c r="A36" s="42"/>
      <c r="B36" s="3"/>
      <c r="C36" s="8"/>
      <c r="D36" s="12"/>
      <c r="E36" s="12"/>
      <c r="F36" s="12"/>
      <c r="G36" s="94"/>
    </row>
    <row r="37" spans="1:7" s="100" customFormat="1" ht="12.75">
      <c r="A37" s="41" t="s">
        <v>201</v>
      </c>
      <c r="B37" s="28"/>
      <c r="C37" s="9" t="s">
        <v>202</v>
      </c>
      <c r="D37" s="101"/>
      <c r="E37" s="101"/>
      <c r="F37" s="101"/>
      <c r="G37" s="102"/>
    </row>
    <row r="38" spans="1:7" s="100" customFormat="1" ht="12.75">
      <c r="A38" s="41">
        <v>1</v>
      </c>
      <c r="B38" s="7" t="s">
        <v>203</v>
      </c>
      <c r="C38" s="105"/>
      <c r="D38" s="101" t="e">
        <f>SUM(D39:D40)</f>
        <v>#REF!</v>
      </c>
      <c r="E38" s="101" t="e">
        <f>SUM(E39:E40)</f>
        <v>#REF!</v>
      </c>
      <c r="F38" s="101" t="e">
        <f aca="true" t="shared" si="2" ref="F38:F84">D38-E38</f>
        <v>#REF!</v>
      </c>
      <c r="G38" s="102" t="e">
        <f aca="true" t="shared" si="3" ref="G38:G85">IF(E38=0,"-    ",F38/E38)</f>
        <v>#REF!</v>
      </c>
    </row>
    <row r="39" spans="1:7" ht="12.75">
      <c r="A39" s="41"/>
      <c r="B39" s="5" t="s">
        <v>613</v>
      </c>
      <c r="C39" s="38"/>
      <c r="D39" s="12" t="e">
        <f>#REF!+#REF!+#REF!+#REF!+#REF!+#REF!+#REF!+#REF!+#REF!+#REF!+#REF!+#REF!+#REF!+#REF!+#REF!+#REF!+#REF!+#REF!+#REF!+#REF!+#REF!+#REF!+#REF!+#REF!+#REF!</f>
        <v>#REF!</v>
      </c>
      <c r="E39" s="12" t="e">
        <f>#REF!+#REF!+#REF!+#REF!+#REF!+#REF!+#REF!+#REF!+#REF!+#REF!+#REF!+#REF!+#REF!+#REF!+#REF!+#REF!+#REF!+#REF!+#REF!+#REF!+#REF!+#REF!+#REF!+#REF!+#REF!</f>
        <v>#REF!</v>
      </c>
      <c r="F39" s="12" t="e">
        <f t="shared" si="2"/>
        <v>#REF!</v>
      </c>
      <c r="G39" s="94" t="e">
        <f t="shared" si="3"/>
        <v>#REF!</v>
      </c>
    </row>
    <row r="40" spans="1:7" ht="12.75">
      <c r="A40" s="42"/>
      <c r="B40" s="5" t="s">
        <v>614</v>
      </c>
      <c r="C40" s="38"/>
      <c r="D40" s="12" t="e">
        <f>#REF!+#REF!+#REF!+#REF!+#REF!+#REF!+#REF!+#REF!+#REF!+#REF!+#REF!+#REF!+#REF!+#REF!+#REF!</f>
        <v>#REF!</v>
      </c>
      <c r="E40" s="12" t="e">
        <f>#REF!+#REF!+#REF!+#REF!+#REF!+#REF!+#REF!+#REF!+#REF!+#REF!+#REF!+#REF!+#REF!+#REF!+#REF!</f>
        <v>#REF!</v>
      </c>
      <c r="F40" s="12" t="e">
        <f t="shared" si="2"/>
        <v>#REF!</v>
      </c>
      <c r="G40" s="94" t="e">
        <f t="shared" si="3"/>
        <v>#REF!</v>
      </c>
    </row>
    <row r="41" spans="1:7" s="100" customFormat="1" ht="12.75">
      <c r="A41" s="41">
        <v>2</v>
      </c>
      <c r="B41" s="7" t="s">
        <v>280</v>
      </c>
      <c r="C41" s="105"/>
      <c r="D41" s="101" t="e">
        <f>SUM(D42:D58)</f>
        <v>#REF!</v>
      </c>
      <c r="E41" s="101" t="e">
        <f>SUM(E42:E58)</f>
        <v>#REF!</v>
      </c>
      <c r="F41" s="101" t="e">
        <f t="shared" si="2"/>
        <v>#REF!</v>
      </c>
      <c r="G41" s="102" t="e">
        <f t="shared" si="3"/>
        <v>#REF!</v>
      </c>
    </row>
    <row r="42" spans="1:7" ht="12.75">
      <c r="A42" s="42"/>
      <c r="B42" s="32" t="s">
        <v>287</v>
      </c>
      <c r="C42" s="32"/>
      <c r="D42" s="3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42" s="3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42" s="12" t="e">
        <f t="shared" si="2"/>
        <v>#REF!</v>
      </c>
      <c r="G42" s="94" t="e">
        <f t="shared" si="3"/>
        <v>#REF!</v>
      </c>
    </row>
    <row r="43" spans="1:7" ht="12.75">
      <c r="A43" s="42"/>
      <c r="B43" s="32" t="s">
        <v>288</v>
      </c>
      <c r="C43" s="5"/>
      <c r="D43" s="12" t="e">
        <f>#REF!+#REF!+#REF!+#REF!</f>
        <v>#REF!</v>
      </c>
      <c r="E43" s="12" t="e">
        <f>#REF!+#REF!+#REF!+#REF!</f>
        <v>#REF!</v>
      </c>
      <c r="F43" s="12" t="e">
        <f t="shared" si="2"/>
        <v>#REF!</v>
      </c>
      <c r="G43" s="94" t="e">
        <f t="shared" si="3"/>
        <v>#REF!</v>
      </c>
    </row>
    <row r="44" spans="1:7" ht="12.75">
      <c r="A44" s="42"/>
      <c r="B44" s="32" t="s">
        <v>289</v>
      </c>
      <c r="C44" s="5"/>
      <c r="D44" s="12" t="e">
        <f>#REF!+#REF!+#REF!+#REF!+#REF!+#REF!+#REF!+#REF!+#REF!+#REF!+#REF!+#REF!+#REF!+#REF!+#REF!+#REF!+#REF!</f>
        <v>#REF!</v>
      </c>
      <c r="E44" s="12" t="e">
        <f>#REF!+#REF!+#REF!+#REF!+#REF!+#REF!+#REF!+#REF!+#REF!+#REF!+#REF!+#REF!+#REF!+#REF!+#REF!+#REF!+#REF!</f>
        <v>#REF!</v>
      </c>
      <c r="F44" s="12" t="e">
        <f t="shared" si="2"/>
        <v>#REF!</v>
      </c>
      <c r="G44" s="94" t="e">
        <f t="shared" si="3"/>
        <v>#REF!</v>
      </c>
    </row>
    <row r="45" spans="1:7" ht="12.75">
      <c r="A45" s="42"/>
      <c r="B45" s="32" t="s">
        <v>290</v>
      </c>
      <c r="C45" s="5"/>
      <c r="D45" s="12" t="e">
        <f>#REF!+#REF!+#REF!+#REF!+#REF!+#REF!+#REF!</f>
        <v>#REF!</v>
      </c>
      <c r="E45" s="12" t="e">
        <f>#REF!+#REF!+#REF!+#REF!+#REF!+#REF!+#REF!</f>
        <v>#REF!</v>
      </c>
      <c r="F45" s="12" t="e">
        <f t="shared" si="2"/>
        <v>#REF!</v>
      </c>
      <c r="G45" s="94" t="e">
        <f t="shared" si="3"/>
        <v>#REF!</v>
      </c>
    </row>
    <row r="46" spans="1:7" ht="12.75">
      <c r="A46" s="42"/>
      <c r="B46" s="32" t="s">
        <v>291</v>
      </c>
      <c r="C46" s="5"/>
      <c r="D46" s="12" t="e">
        <f>#REF!+#REF!+#REF!+#REF!+#REF!+#REF!+#REF!</f>
        <v>#REF!</v>
      </c>
      <c r="E46" s="12" t="e">
        <f>#REF!+#REF!+#REF!+#REF!+#REF!+#REF!+#REF!</f>
        <v>#REF!</v>
      </c>
      <c r="F46" s="12" t="e">
        <f t="shared" si="2"/>
        <v>#REF!</v>
      </c>
      <c r="G46" s="94" t="e">
        <f t="shared" si="3"/>
        <v>#REF!</v>
      </c>
    </row>
    <row r="47" spans="1:7" ht="12.75">
      <c r="A47" s="42"/>
      <c r="B47" s="32" t="s">
        <v>292</v>
      </c>
      <c r="C47" s="5"/>
      <c r="D47" s="12" t="e">
        <f>#REF!+#REF!+#REF!+#REF!+#REF!</f>
        <v>#REF!</v>
      </c>
      <c r="E47" s="12" t="e">
        <f>#REF!+#REF!+#REF!+#REF!+#REF!</f>
        <v>#REF!</v>
      </c>
      <c r="F47" s="12" t="e">
        <f t="shared" si="2"/>
        <v>#REF!</v>
      </c>
      <c r="G47" s="94" t="e">
        <f t="shared" si="3"/>
        <v>#REF!</v>
      </c>
    </row>
    <row r="48" spans="1:7" ht="12.75">
      <c r="A48" s="42"/>
      <c r="B48" s="32" t="s">
        <v>293</v>
      </c>
      <c r="C48" s="5"/>
      <c r="D48" s="12" t="e">
        <f>#REF!+#REF!+#REF!+#REF!+#REF!+#REF!+#REF!+#REF!+#REF!+#REF!</f>
        <v>#REF!</v>
      </c>
      <c r="E48" s="12" t="e">
        <f>#REF!+#REF!+#REF!+#REF!+#REF!+#REF!+#REF!+#REF!+#REF!+#REF!</f>
        <v>#REF!</v>
      </c>
      <c r="F48" s="12" t="e">
        <f t="shared" si="2"/>
        <v>#REF!</v>
      </c>
      <c r="G48" s="94" t="e">
        <f t="shared" si="3"/>
        <v>#REF!</v>
      </c>
    </row>
    <row r="49" spans="1:7" ht="12.75">
      <c r="A49" s="42"/>
      <c r="B49" s="32" t="s">
        <v>294</v>
      </c>
      <c r="C49" s="5"/>
      <c r="D49" s="12" t="e">
        <f>#REF!+#REF!+#REF!+#REF!+#REF!</f>
        <v>#REF!</v>
      </c>
      <c r="E49" s="12" t="e">
        <f>#REF!+#REF!+#REF!+#REF!+#REF!</f>
        <v>#REF!</v>
      </c>
      <c r="F49" s="12" t="e">
        <f t="shared" si="2"/>
        <v>#REF!</v>
      </c>
      <c r="G49" s="94" t="e">
        <f t="shared" si="3"/>
        <v>#REF!</v>
      </c>
    </row>
    <row r="50" spans="1:7" ht="12.75">
      <c r="A50" s="42"/>
      <c r="B50" s="32" t="s">
        <v>295</v>
      </c>
      <c r="C50" s="5"/>
      <c r="D50" s="12" t="e">
        <f>#REF!+#REF!+#REF!+#REF!+#REF!+#REF!+#REF!+#REF!</f>
        <v>#REF!</v>
      </c>
      <c r="E50" s="12" t="e">
        <f>#REF!+#REF!+#REF!+#REF!+#REF!+#REF!+#REF!+#REF!</f>
        <v>#REF!</v>
      </c>
      <c r="F50" s="12" t="e">
        <f t="shared" si="2"/>
        <v>#REF!</v>
      </c>
      <c r="G50" s="94" t="e">
        <f t="shared" si="3"/>
        <v>#REF!</v>
      </c>
    </row>
    <row r="51" spans="1:7" ht="12.75">
      <c r="A51" s="42"/>
      <c r="B51" s="32" t="s">
        <v>296</v>
      </c>
      <c r="C51" s="5"/>
      <c r="D51" s="12" t="e">
        <f>#REF!+#REF!+#REF!+#REF!+#REF!</f>
        <v>#REF!</v>
      </c>
      <c r="E51" s="12" t="e">
        <f>#REF!+#REF!+#REF!+#REF!+#REF!</f>
        <v>#REF!</v>
      </c>
      <c r="F51" s="12" t="e">
        <f t="shared" si="2"/>
        <v>#REF!</v>
      </c>
      <c r="G51" s="94" t="e">
        <f t="shared" si="3"/>
        <v>#REF!</v>
      </c>
    </row>
    <row r="52" spans="1:7" ht="12.75">
      <c r="A52" s="42"/>
      <c r="B52" s="32" t="s">
        <v>297</v>
      </c>
      <c r="C52" s="5"/>
      <c r="D52" s="12" t="e">
        <f>#REF!+#REF!+#REF!+#REF!+#REF!+#REF!+#REF!</f>
        <v>#REF!</v>
      </c>
      <c r="E52" s="12" t="e">
        <f>#REF!+#REF!+#REF!+#REF!+#REF!+#REF!+#REF!</f>
        <v>#REF!</v>
      </c>
      <c r="F52" s="12" t="e">
        <f t="shared" si="2"/>
        <v>#REF!</v>
      </c>
      <c r="G52" s="94" t="e">
        <f t="shared" si="3"/>
        <v>#REF!</v>
      </c>
    </row>
    <row r="53" spans="1:7" ht="12.75">
      <c r="A53" s="42"/>
      <c r="B53" s="32" t="s">
        <v>298</v>
      </c>
      <c r="C53" s="5"/>
      <c r="D53" s="12" t="e">
        <f>#REF!+#REF!+#REF!+#REF!+#REF!+#REF!+#REF!+#REF!+#REF!+#REF!+#REF!+#REF!+#REF!+#REF!+#REF!+#REF!</f>
        <v>#REF!</v>
      </c>
      <c r="E53" s="12" t="e">
        <f>#REF!+#REF!+#REF!+#REF!+#REF!+#REF!+#REF!+#REF!+#REF!+#REF!+#REF!+#REF!+#REF!+#REF!+#REF!+#REF!</f>
        <v>#REF!</v>
      </c>
      <c r="F53" s="12" t="e">
        <f t="shared" si="2"/>
        <v>#REF!</v>
      </c>
      <c r="G53" s="94" t="e">
        <f t="shared" si="3"/>
        <v>#REF!</v>
      </c>
    </row>
    <row r="54" spans="1:7" ht="12.75">
      <c r="A54" s="42"/>
      <c r="B54" s="32" t="s">
        <v>299</v>
      </c>
      <c r="C54" s="5"/>
      <c r="D54" s="12" t="e">
        <f>#REF!+#REF!+#REF!+#REF!+#REF!+#REF!+#REF!+#REF!+#REF!+#REF!+#REF!+#REF!+#REF!+#REF!+#REF!+#REF!+#REF!+#REF!+#REF!+#REF!+#REF!+#REF!+#REF!+#REF!+#REF!+#REF!+#REF!+#REF!+#REF!+#REF!+#REF!</f>
        <v>#REF!</v>
      </c>
      <c r="E54" s="12" t="e">
        <f>#REF!+#REF!+#REF!+#REF!+#REF!+#REF!+#REF!+#REF!+#REF!+#REF!+#REF!+#REF!+#REF!+#REF!+#REF!+#REF!+#REF!+#REF!+#REF!+#REF!+#REF!+#REF!+#REF!+#REF!+#REF!+#REF!+#REF!+#REF!+#REF!+#REF!+#REF!</f>
        <v>#REF!</v>
      </c>
      <c r="F54" s="12" t="e">
        <f t="shared" si="2"/>
        <v>#REF!</v>
      </c>
      <c r="G54" s="94" t="e">
        <f t="shared" si="3"/>
        <v>#REF!</v>
      </c>
    </row>
    <row r="55" spans="1:7" ht="12.75">
      <c r="A55" s="42"/>
      <c r="B55" s="32" t="s">
        <v>300</v>
      </c>
      <c r="C55" s="5"/>
      <c r="D55" s="12" t="e">
        <f>#REF!+#REF!+#REF!+#REF!+#REF!+#REF!+#REF!+#REF!+#REF!+#REF!+#REF!+#REF!+#REF!+#REF!+#REF!+#REF!</f>
        <v>#REF!</v>
      </c>
      <c r="E55" s="12" t="e">
        <f>#REF!+#REF!+#REF!+#REF!+#REF!+#REF!+#REF!+#REF!+#REF!+#REF!+#REF!+#REF!+#REF!+#REF!+#REF!+#REF!</f>
        <v>#REF!</v>
      </c>
      <c r="F55" s="12" t="e">
        <f t="shared" si="2"/>
        <v>#REF!</v>
      </c>
      <c r="G55" s="94" t="e">
        <f t="shared" si="3"/>
        <v>#REF!</v>
      </c>
    </row>
    <row r="56" spans="1:7" ht="12.75">
      <c r="A56" s="42"/>
      <c r="B56" s="32" t="s">
        <v>302</v>
      </c>
      <c r="C56" s="5"/>
      <c r="D56" s="12" t="e">
        <f>#REF!+#REF!+#REF!+#REF!+#REF!+#REF!+#REF!+#REF!+#REF!+#REF!+#REF!+#REF!+#REF!+#REF!+#REF!+#REF!+#REF!+#REF!+#REF!+#REF!+#REF!+#REF!+#REF!+#REF!+#REF!</f>
        <v>#REF!</v>
      </c>
      <c r="E56" s="12" t="e">
        <f>#REF!+#REF!+#REF!+#REF!+#REF!+#REF!+#REF!+#REF!+#REF!+#REF!+#REF!+#REF!+#REF!+#REF!+#REF!+#REF!+#REF!+#REF!+#REF!+#REF!+#REF!+#REF!+#REF!+#REF!+#REF!</f>
        <v>#REF!</v>
      </c>
      <c r="F56" s="12" t="e">
        <f t="shared" si="2"/>
        <v>#REF!</v>
      </c>
      <c r="G56" s="94" t="e">
        <f t="shared" si="3"/>
        <v>#REF!</v>
      </c>
    </row>
    <row r="57" spans="1:7" ht="12.75">
      <c r="A57" s="42"/>
      <c r="B57" s="32" t="s">
        <v>301</v>
      </c>
      <c r="C57" s="5"/>
      <c r="D57" s="12" t="e">
        <f>#REF!+#REF!+#REF!+#REF!+#REF!+#REF!</f>
        <v>#REF!</v>
      </c>
      <c r="E57" s="12" t="e">
        <f>#REF!+#REF!+#REF!+#REF!+#REF!+#REF!</f>
        <v>#REF!</v>
      </c>
      <c r="F57" s="12" t="e">
        <f t="shared" si="2"/>
        <v>#REF!</v>
      </c>
      <c r="G57" s="94" t="e">
        <f t="shared" si="3"/>
        <v>#REF!</v>
      </c>
    </row>
    <row r="58" spans="1:7" ht="12.75">
      <c r="A58" s="42"/>
      <c r="B58" s="32" t="s">
        <v>303</v>
      </c>
      <c r="C58" s="5"/>
      <c r="D58" s="12" t="e">
        <f>#REF!</f>
        <v>#REF!</v>
      </c>
      <c r="E58" s="12" t="e">
        <f>#REF!</f>
        <v>#REF!</v>
      </c>
      <c r="F58" s="12" t="e">
        <f t="shared" si="2"/>
        <v>#REF!</v>
      </c>
      <c r="G58" s="94" t="e">
        <f t="shared" si="3"/>
        <v>#REF!</v>
      </c>
    </row>
    <row r="59" spans="1:7" s="100" customFormat="1" ht="12.75">
      <c r="A59" s="41">
        <v>3</v>
      </c>
      <c r="B59" s="7" t="s">
        <v>304</v>
      </c>
      <c r="C59" s="105"/>
      <c r="D59" s="101" t="e">
        <f>SUM(D60:D62)</f>
        <v>#REF!</v>
      </c>
      <c r="E59" s="101" t="e">
        <f>SUM(E60:E62)</f>
        <v>#REF!</v>
      </c>
      <c r="F59" s="101" t="e">
        <f t="shared" si="2"/>
        <v>#REF!</v>
      </c>
      <c r="G59" s="102" t="e">
        <f t="shared" si="3"/>
        <v>#REF!</v>
      </c>
    </row>
    <row r="60" spans="1:7" ht="12.75">
      <c r="A60" s="42"/>
      <c r="B60" s="32" t="s">
        <v>305</v>
      </c>
      <c r="C60" s="32"/>
      <c r="D60" s="31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E60" s="31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F60" s="12" t="e">
        <f t="shared" si="2"/>
        <v>#REF!</v>
      </c>
      <c r="G60" s="94" t="e">
        <f t="shared" si="3"/>
        <v>#REF!</v>
      </c>
    </row>
    <row r="61" spans="1:7" ht="12.75">
      <c r="A61" s="42"/>
      <c r="B61" s="32" t="s">
        <v>306</v>
      </c>
      <c r="C61" s="5"/>
      <c r="D61" s="12" t="e">
        <f>#REF!+#REF!+#REF!+#REF!+#REF!+#REF!+#REF!+#REF!+#REF!+#REF!+#REF!+#REF!+#REF!+#REF!+#REF!+#REF!+#REF!+#REF!</f>
        <v>#REF!</v>
      </c>
      <c r="E61" s="12" t="e">
        <f>#REF!+#REF!+#REF!+#REF!+#REF!+#REF!+#REF!+#REF!+#REF!+#REF!+#REF!+#REF!+#REF!+#REF!+#REF!+#REF!+#REF!+#REF!</f>
        <v>#REF!</v>
      </c>
      <c r="F61" s="12" t="e">
        <f t="shared" si="2"/>
        <v>#REF!</v>
      </c>
      <c r="G61" s="94" t="e">
        <f t="shared" si="3"/>
        <v>#REF!</v>
      </c>
    </row>
    <row r="62" spans="1:7" ht="12.75">
      <c r="A62" s="42"/>
      <c r="B62" s="32" t="s">
        <v>307</v>
      </c>
      <c r="C62" s="5"/>
      <c r="D62" s="12" t="e">
        <f>+#REF!+#REF!</f>
        <v>#REF!</v>
      </c>
      <c r="E62" s="12" t="e">
        <f>+#REF!+#REF!</f>
        <v>#REF!</v>
      </c>
      <c r="F62" s="12" t="e">
        <f t="shared" si="2"/>
        <v>#REF!</v>
      </c>
      <c r="G62" s="94" t="e">
        <f t="shared" si="3"/>
        <v>#REF!</v>
      </c>
    </row>
    <row r="63" spans="1:7" s="100" customFormat="1" ht="12.75">
      <c r="A63" s="41">
        <v>4</v>
      </c>
      <c r="B63" s="37" t="s">
        <v>308</v>
      </c>
      <c r="C63" s="105"/>
      <c r="D63" s="101" t="e">
        <f>#REF!+#REF!+#REF!+#REF!+#REF!+#REF!+#REF!+#REF!+#REF!+#REF!+#REF!</f>
        <v>#REF!</v>
      </c>
      <c r="E63" s="101" t="e">
        <f>#REF!+#REF!+#REF!+#REF!+#REF!+#REF!+#REF!+#REF!+#REF!+#REF!+#REF!</f>
        <v>#REF!</v>
      </c>
      <c r="F63" s="101" t="e">
        <f t="shared" si="2"/>
        <v>#REF!</v>
      </c>
      <c r="G63" s="102" t="e">
        <f t="shared" si="3"/>
        <v>#REF!</v>
      </c>
    </row>
    <row r="64" spans="1:7" s="100" customFormat="1" ht="12.75">
      <c r="A64" s="41">
        <v>5</v>
      </c>
      <c r="B64" s="7" t="s">
        <v>204</v>
      </c>
      <c r="C64" s="7"/>
      <c r="D64" s="101" t="e">
        <f>#REF!+#REF!+#REF!+#REF!+#REF!+#REF!+#REF!+#REF!+#REF!+#REF!+#REF!+#REF!</f>
        <v>#REF!</v>
      </c>
      <c r="E64" s="101" t="e">
        <f>#REF!+#REF!+#REF!+#REF!+#REF!+#REF!+#REF!+#REF!+#REF!+#REF!+#REF!+#REF!</f>
        <v>#REF!</v>
      </c>
      <c r="F64" s="101" t="e">
        <f t="shared" si="2"/>
        <v>#REF!</v>
      </c>
      <c r="G64" s="102" t="e">
        <f t="shared" si="3"/>
        <v>#REF!</v>
      </c>
    </row>
    <row r="65" spans="1:7" s="100" customFormat="1" ht="12" customHeight="1">
      <c r="A65" s="41">
        <v>6</v>
      </c>
      <c r="B65" s="7" t="s">
        <v>205</v>
      </c>
      <c r="C65" s="105"/>
      <c r="D65" s="101" t="e">
        <f>SUM(D66:D70)</f>
        <v>#REF!</v>
      </c>
      <c r="E65" s="101" t="e">
        <f>SUM(E66:E70)</f>
        <v>#REF!</v>
      </c>
      <c r="F65" s="101" t="e">
        <f t="shared" si="2"/>
        <v>#REF!</v>
      </c>
      <c r="G65" s="102" t="e">
        <f t="shared" si="3"/>
        <v>#REF!</v>
      </c>
    </row>
    <row r="66" spans="1:7" ht="12.75">
      <c r="A66" s="41"/>
      <c r="B66" s="5" t="s">
        <v>615</v>
      </c>
      <c r="C66" s="38"/>
      <c r="D66" s="12" t="e">
        <f>#REF!+#REF!+#REF!+#REF!+#REF!+#REF!+#REF!+#REF!+#REF!+#REF!+#REF!+#REF!+#REF!+#REF!+#REF!+#REF!+#REF!+#REF!+#REF!+#REF!+#REF!+#REF!+#REF!+#REF!+#REF!</f>
        <v>#REF!</v>
      </c>
      <c r="E66" s="12" t="e">
        <f>#REF!+#REF!+#REF!+#REF!+#REF!+#REF!+#REF!+#REF!+#REF!+#REF!+#REF!+#REF!+#REF!+#REF!+#REF!+#REF!+#REF!+#REF!+#REF!+#REF!+#REF!+#REF!+#REF!+#REF!+#REF!</f>
        <v>#REF!</v>
      </c>
      <c r="F66" s="12" t="e">
        <f t="shared" si="2"/>
        <v>#REF!</v>
      </c>
      <c r="G66" s="94" t="e">
        <f t="shared" si="3"/>
        <v>#REF!</v>
      </c>
    </row>
    <row r="67" spans="1:7" ht="12.75">
      <c r="A67" s="41"/>
      <c r="B67" s="5" t="s">
        <v>616</v>
      </c>
      <c r="C67" s="38"/>
      <c r="D67" s="12" t="e">
        <f>#REF!+#REF!+#REF!+#REF!+#REF!+#REF!+#REF!+#REF!+#REF!+#REF!+#REF!+#REF!+#REF!+#REF!+#REF!+#REF!+#REF!</f>
        <v>#REF!</v>
      </c>
      <c r="E67" s="12" t="e">
        <f>#REF!+#REF!+#REF!+#REF!+#REF!+#REF!+#REF!+#REF!+#REF!+#REF!+#REF!+#REF!+#REF!+#REF!+#REF!+#REF!+#REF!</f>
        <v>#REF!</v>
      </c>
      <c r="F67" s="12" t="e">
        <f t="shared" si="2"/>
        <v>#REF!</v>
      </c>
      <c r="G67" s="94" t="e">
        <f t="shared" si="3"/>
        <v>#REF!</v>
      </c>
    </row>
    <row r="68" spans="1:7" ht="12.75">
      <c r="A68" s="41"/>
      <c r="B68" s="5" t="s">
        <v>617</v>
      </c>
      <c r="C68" s="38"/>
      <c r="D68" s="12" t="e">
        <f>#REF!+#REF!+#REF!+#REF!+#REF!+#REF!+#REF!+#REF!+#REF!+#REF!+#REF!+#REF!+#REF!+#REF!+#REF!+#REF!+#REF!+#REF!+#REF!+#REF!</f>
        <v>#REF!</v>
      </c>
      <c r="E68" s="12" t="e">
        <f>#REF!+#REF!+#REF!+#REF!+#REF!+#REF!+#REF!+#REF!+#REF!+#REF!+#REF!+#REF!+#REF!+#REF!+#REF!+#REF!+#REF!+#REF!+#REF!+#REF!</f>
        <v>#REF!</v>
      </c>
      <c r="F68" s="12" t="e">
        <f t="shared" si="2"/>
        <v>#REF!</v>
      </c>
      <c r="G68" s="94" t="e">
        <f t="shared" si="3"/>
        <v>#REF!</v>
      </c>
    </row>
    <row r="69" spans="1:7" ht="12.75">
      <c r="A69" s="42"/>
      <c r="B69" s="5" t="s">
        <v>618</v>
      </c>
      <c r="C69" s="38"/>
      <c r="D69" s="1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69" s="1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69" s="12" t="e">
        <f t="shared" si="2"/>
        <v>#REF!</v>
      </c>
      <c r="G69" s="94" t="e">
        <f t="shared" si="3"/>
        <v>#REF!</v>
      </c>
    </row>
    <row r="70" spans="1:7" ht="12.75">
      <c r="A70" s="42"/>
      <c r="B70" s="5" t="s">
        <v>619</v>
      </c>
      <c r="C70" s="38"/>
      <c r="D70" s="1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70" s="1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70" s="12" t="e">
        <f t="shared" si="2"/>
        <v>#REF!</v>
      </c>
      <c r="G70" s="94" t="e">
        <f t="shared" si="3"/>
        <v>#REF!</v>
      </c>
    </row>
    <row r="71" spans="1:7" s="100" customFormat="1" ht="12.75">
      <c r="A71" s="41">
        <v>7</v>
      </c>
      <c r="B71" s="37" t="s">
        <v>309</v>
      </c>
      <c r="C71" s="7"/>
      <c r="D71" s="101" t="e">
        <f>#REF!+#REF!+#REF!+#REF!+#REF!+#REF!+#REF!+#REF!+#REF!+#REF!+#REF!+#REF!+#REF!+#REF!+#REF!+#REF!+#REF!+#REF!+#REF!+#REF!</f>
        <v>#REF!</v>
      </c>
      <c r="E71" s="101" t="e">
        <f>#REF!+#REF!+#REF!+#REF!+#REF!+#REF!+#REF!+#REF!+#REF!+#REF!+#REF!+#REF!+#REF!+#REF!+#REF!+#REF!+#REF!+#REF!+#REF!+#REF!</f>
        <v>#REF!</v>
      </c>
      <c r="F71" s="101" t="e">
        <f t="shared" si="2"/>
        <v>#REF!</v>
      </c>
      <c r="G71" s="102" t="e">
        <f t="shared" si="3"/>
        <v>#REF!</v>
      </c>
    </row>
    <row r="72" spans="1:7" s="100" customFormat="1" ht="12.75">
      <c r="A72" s="41">
        <v>8</v>
      </c>
      <c r="B72" s="37" t="s">
        <v>310</v>
      </c>
      <c r="C72" s="7"/>
      <c r="D72" s="101" t="e">
        <f>SUM(D73:D75)</f>
        <v>#REF!</v>
      </c>
      <c r="E72" s="101" t="e">
        <f>SUM(E73:E75)</f>
        <v>#REF!</v>
      </c>
      <c r="F72" s="101" t="e">
        <f t="shared" si="2"/>
        <v>#REF!</v>
      </c>
      <c r="G72" s="102" t="e">
        <f t="shared" si="3"/>
        <v>#REF!</v>
      </c>
    </row>
    <row r="73" spans="1:7" ht="12.75">
      <c r="A73" s="41"/>
      <c r="B73" s="5" t="s">
        <v>620</v>
      </c>
      <c r="C73" s="38"/>
      <c r="D73" s="12" t="e">
        <f>#REF!+#REF!+#REF!+#REF!+#REF!+#REF!+#REF!+#REF!</f>
        <v>#REF!</v>
      </c>
      <c r="E73" s="12" t="e">
        <f>#REF!+#REF!+#REF!+#REF!+#REF!+#REF!+#REF!+#REF!</f>
        <v>#REF!</v>
      </c>
      <c r="F73" s="12" t="e">
        <f t="shared" si="2"/>
        <v>#REF!</v>
      </c>
      <c r="G73" s="94" t="e">
        <f t="shared" si="3"/>
        <v>#REF!</v>
      </c>
    </row>
    <row r="74" spans="1:7" ht="12.75">
      <c r="A74" s="41"/>
      <c r="B74" s="5" t="s">
        <v>621</v>
      </c>
      <c r="C74" s="38"/>
      <c r="D74" s="12" t="e">
        <f>#REF!+#REF!</f>
        <v>#REF!</v>
      </c>
      <c r="E74" s="12" t="e">
        <f>#REF!+#REF!</f>
        <v>#REF!</v>
      </c>
      <c r="F74" s="12" t="e">
        <f t="shared" si="2"/>
        <v>#REF!</v>
      </c>
      <c r="G74" s="94" t="e">
        <f t="shared" si="3"/>
        <v>#REF!</v>
      </c>
    </row>
    <row r="75" spans="1:7" ht="12.75">
      <c r="A75" s="42"/>
      <c r="B75" s="5" t="s">
        <v>622</v>
      </c>
      <c r="C75" s="38"/>
      <c r="D75" s="12" t="e">
        <f>#REF!+#REF!+#REF!+#REF!+#REF!</f>
        <v>#REF!</v>
      </c>
      <c r="E75" s="12" t="e">
        <f>#REF!+#REF!+#REF!+#REF!+#REF!</f>
        <v>#REF!</v>
      </c>
      <c r="F75" s="12" t="e">
        <f t="shared" si="2"/>
        <v>#REF!</v>
      </c>
      <c r="G75" s="94" t="e">
        <f t="shared" si="3"/>
        <v>#REF!</v>
      </c>
    </row>
    <row r="76" spans="1:7" s="100" customFormat="1" ht="12.75">
      <c r="A76" s="41">
        <v>9</v>
      </c>
      <c r="B76" s="37" t="s">
        <v>311</v>
      </c>
      <c r="C76" s="7"/>
      <c r="D76" s="10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76" s="10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76" s="101" t="e">
        <f t="shared" si="2"/>
        <v>#REF!</v>
      </c>
      <c r="G76" s="102" t="e">
        <f t="shared" si="3"/>
        <v>#REF!</v>
      </c>
    </row>
    <row r="77" spans="1:7" s="100" customFormat="1" ht="12.75">
      <c r="A77" s="41">
        <v>10</v>
      </c>
      <c r="B77" s="7" t="s">
        <v>206</v>
      </c>
      <c r="C77" s="105"/>
      <c r="D77" s="101" t="e">
        <f>SUM(D78:D79)</f>
        <v>#REF!</v>
      </c>
      <c r="E77" s="101" t="e">
        <f>SUM(E78:E79)</f>
        <v>#REF!</v>
      </c>
      <c r="F77" s="101" t="e">
        <f t="shared" si="2"/>
        <v>#REF!</v>
      </c>
      <c r="G77" s="102" t="e">
        <f t="shared" si="3"/>
        <v>#REF!</v>
      </c>
    </row>
    <row r="78" spans="1:7" ht="12.75">
      <c r="A78" s="41"/>
      <c r="B78" s="5" t="s">
        <v>623</v>
      </c>
      <c r="C78" s="38"/>
      <c r="D78" s="12" t="e">
        <f>#REF!</f>
        <v>#REF!</v>
      </c>
      <c r="E78" s="12" t="e">
        <f>#REF!</f>
        <v>#REF!</v>
      </c>
      <c r="F78" s="12" t="e">
        <f t="shared" si="2"/>
        <v>#REF!</v>
      </c>
      <c r="G78" s="94" t="e">
        <f t="shared" si="3"/>
        <v>#REF!</v>
      </c>
    </row>
    <row r="79" spans="1:7" ht="12.75">
      <c r="A79" s="41"/>
      <c r="B79" s="5" t="s">
        <v>624</v>
      </c>
      <c r="C79" s="38"/>
      <c r="D79" s="12" t="e">
        <f>#REF!</f>
        <v>#REF!</v>
      </c>
      <c r="E79" s="12" t="e">
        <f>#REF!</f>
        <v>#REF!</v>
      </c>
      <c r="F79" s="12" t="e">
        <f t="shared" si="2"/>
        <v>#REF!</v>
      </c>
      <c r="G79" s="94" t="e">
        <f t="shared" si="3"/>
        <v>#REF!</v>
      </c>
    </row>
    <row r="80" spans="1:7" s="100" customFormat="1" ht="12.75">
      <c r="A80" s="41">
        <v>11</v>
      </c>
      <c r="B80" s="7" t="s">
        <v>312</v>
      </c>
      <c r="C80" s="105"/>
      <c r="D80" s="101" t="e">
        <f>SUM(D81:D84)</f>
        <v>#REF!</v>
      </c>
      <c r="E80" s="101" t="e">
        <f>SUM(E81:E84)</f>
        <v>#REF!</v>
      </c>
      <c r="F80" s="101" t="e">
        <f t="shared" si="2"/>
        <v>#REF!</v>
      </c>
      <c r="G80" s="102" t="e">
        <f t="shared" si="3"/>
        <v>#REF!</v>
      </c>
    </row>
    <row r="81" spans="1:7" ht="12.75">
      <c r="A81" s="41"/>
      <c r="B81" s="5" t="s">
        <v>313</v>
      </c>
      <c r="C81" s="8"/>
      <c r="D81" s="12" t="e">
        <f>#REF!+#REF!+#REF!+#REF!+#REF!+#REF!+#REF!</f>
        <v>#REF!</v>
      </c>
      <c r="E81" s="12" t="e">
        <f>#REF!+#REF!+#REF!+#REF!+#REF!+#REF!+#REF!</f>
        <v>#REF!</v>
      </c>
      <c r="F81" s="12" t="e">
        <f t="shared" si="2"/>
        <v>#REF!</v>
      </c>
      <c r="G81" s="94" t="e">
        <f t="shared" si="3"/>
        <v>#REF!</v>
      </c>
    </row>
    <row r="82" spans="1:7" ht="12.75">
      <c r="A82" s="41"/>
      <c r="B82" s="5" t="s">
        <v>314</v>
      </c>
      <c r="C82" s="14"/>
      <c r="D82" s="12" t="e">
        <f>#REF!+#REF!</f>
        <v>#REF!</v>
      </c>
      <c r="E82" s="12" t="e">
        <f>#REF!+#REF!</f>
        <v>#REF!</v>
      </c>
      <c r="F82" s="12" t="e">
        <f t="shared" si="2"/>
        <v>#REF!</v>
      </c>
      <c r="G82" s="94" t="e">
        <f t="shared" si="3"/>
        <v>#REF!</v>
      </c>
    </row>
    <row r="83" spans="1:7" ht="12.75">
      <c r="A83" s="41"/>
      <c r="B83" s="5" t="s">
        <v>316</v>
      </c>
      <c r="C83" s="14"/>
      <c r="D83" s="12" t="e">
        <f>#REF!+#REF!+#REF!+#REF!+#REF!</f>
        <v>#REF!</v>
      </c>
      <c r="E83" s="12" t="e">
        <f>#REF!+#REF!+#REF!+#REF!+#REF!</f>
        <v>#REF!</v>
      </c>
      <c r="F83" s="12" t="e">
        <f t="shared" si="2"/>
        <v>#REF!</v>
      </c>
      <c r="G83" s="94" t="e">
        <f t="shared" si="3"/>
        <v>#REF!</v>
      </c>
    </row>
    <row r="84" spans="1:7" ht="12.75">
      <c r="A84" s="41"/>
      <c r="B84" s="5" t="s">
        <v>315</v>
      </c>
      <c r="C84" s="14"/>
      <c r="D84" s="12" t="e">
        <f>#REF!+#REF!+#REF!+#REF!+#REF!+#REF!+#REF!+#REF!</f>
        <v>#REF!</v>
      </c>
      <c r="E84" s="12" t="e">
        <f>#REF!+#REF!+#REF!+#REF!+#REF!+#REF!+#REF!+#REF!</f>
        <v>#REF!</v>
      </c>
      <c r="F84" s="12" t="e">
        <f t="shared" si="2"/>
        <v>#REF!</v>
      </c>
      <c r="G84" s="94" t="e">
        <f t="shared" si="3"/>
        <v>#REF!</v>
      </c>
    </row>
    <row r="85" spans="1:7" s="100" customFormat="1" ht="12.75">
      <c r="A85" s="394" t="s">
        <v>317</v>
      </c>
      <c r="B85" s="395"/>
      <c r="C85" s="395"/>
      <c r="D85" s="103" t="e">
        <f>D38+D41+D63+D64+D65+D71+D72+D76+D77+D80+D59</f>
        <v>#REF!</v>
      </c>
      <c r="E85" s="103" t="e">
        <f>E38+E41+E63+E64+E65+E71+E72+E76+E77+E80+E59</f>
        <v>#REF!</v>
      </c>
      <c r="F85" s="103" t="e">
        <f>F38+F41+F63+F64+F65+F71+F72+F76+F77+F80+F59</f>
        <v>#REF!</v>
      </c>
      <c r="G85" s="104" t="e">
        <f t="shared" si="3"/>
        <v>#REF!</v>
      </c>
    </row>
    <row r="86" spans="1:7" s="100" customFormat="1" ht="13.5" thickBot="1">
      <c r="A86" s="41"/>
      <c r="B86" s="28"/>
      <c r="C86" s="7"/>
      <c r="D86" s="101"/>
      <c r="E86" s="101"/>
      <c r="F86" s="101"/>
      <c r="G86" s="102"/>
    </row>
    <row r="87" spans="1:7" s="100" customFormat="1" ht="13.5" thickBot="1">
      <c r="A87" s="392" t="s">
        <v>318</v>
      </c>
      <c r="B87" s="393"/>
      <c r="C87" s="393"/>
      <c r="D87" s="106" t="e">
        <f>+D35-D85</f>
        <v>#REF!</v>
      </c>
      <c r="E87" s="106" t="e">
        <f>+E35-E85</f>
        <v>#REF!</v>
      </c>
      <c r="F87" s="106" t="e">
        <f>D87-E87</f>
        <v>#REF!</v>
      </c>
      <c r="G87" s="107" t="e">
        <f>IF(E87=0,"-    ",F87/E87)</f>
        <v>#REF!</v>
      </c>
    </row>
    <row r="88" spans="1:7" ht="12.75">
      <c r="A88" s="42"/>
      <c r="B88" s="3"/>
      <c r="C88" s="8"/>
      <c r="D88" s="12"/>
      <c r="E88" s="12"/>
      <c r="F88" s="12"/>
      <c r="G88" s="94"/>
    </row>
    <row r="89" spans="1:7" s="100" customFormat="1" ht="12.75">
      <c r="A89" s="41" t="s">
        <v>207</v>
      </c>
      <c r="B89" s="7" t="s">
        <v>208</v>
      </c>
      <c r="C89" s="105"/>
      <c r="D89" s="101"/>
      <c r="E89" s="101"/>
      <c r="F89" s="101"/>
      <c r="G89" s="102"/>
    </row>
    <row r="90" spans="1:7" s="100" customFormat="1" ht="12.75">
      <c r="A90" s="108"/>
      <c r="B90" s="28" t="s">
        <v>326</v>
      </c>
      <c r="C90" s="26" t="s">
        <v>319</v>
      </c>
      <c r="D90" s="101">
        <f>'Alimentazione CE Ricavi'!H213+'Alimentazione CE Ricavi'!H215+'Alimentazione CE Ricavi'!H216+'Alimentazione CE Ricavi'!H218+'Alimentazione CE Ricavi'!H219+'Alimentazione CE Ricavi'!H220+'Alimentazione CE Ricavi'!H222+'Alimentazione CE Ricavi'!H223+'Alimentazione CE Ricavi'!H224+'Alimentazione CE Ricavi'!H225+'Alimentazione CE Ricavi'!H226</f>
        <v>145</v>
      </c>
      <c r="E90" s="101">
        <f>'Alimentazione CE Ricavi'!I213+'Alimentazione CE Ricavi'!I215+'Alimentazione CE Ricavi'!I216+'Alimentazione CE Ricavi'!I218+'Alimentazione CE Ricavi'!I219+'Alimentazione CE Ricavi'!I220+'Alimentazione CE Ricavi'!I222+'Alimentazione CE Ricavi'!I223+'Alimentazione CE Ricavi'!I224+'Alimentazione CE Ricavi'!I225+'Alimentazione CE Ricavi'!I226</f>
        <v>147</v>
      </c>
      <c r="F90" s="101">
        <f>D90-E90</f>
        <v>-2</v>
      </c>
      <c r="G90" s="102">
        <f>IF(E90=0,"-    ",F90/E90)</f>
        <v>-0.0136</v>
      </c>
    </row>
    <row r="91" spans="1:7" s="100" customFormat="1" ht="12.75">
      <c r="A91" s="108"/>
      <c r="B91" s="28" t="s">
        <v>327</v>
      </c>
      <c r="C91" s="26" t="s">
        <v>320</v>
      </c>
      <c r="D91" s="101" t="e">
        <f>#REF!+#REF!+#REF!+#REF!+#REF!+#REF!</f>
        <v>#REF!</v>
      </c>
      <c r="E91" s="101" t="e">
        <f>#REF!+#REF!+#REF!+#REF!+#REF!+#REF!</f>
        <v>#REF!</v>
      </c>
      <c r="F91" s="101" t="e">
        <f>D91-E91</f>
        <v>#REF!</v>
      </c>
      <c r="G91" s="102" t="e">
        <f>IF(E91=0,"-    ",F91/E91)</f>
        <v>#REF!</v>
      </c>
    </row>
    <row r="92" spans="1:7" s="100" customFormat="1" ht="12.75">
      <c r="A92" s="394" t="s">
        <v>321</v>
      </c>
      <c r="B92" s="395"/>
      <c r="C92" s="395" t="s">
        <v>209</v>
      </c>
      <c r="D92" s="103" t="e">
        <f>+D90-D91</f>
        <v>#REF!</v>
      </c>
      <c r="E92" s="103" t="e">
        <f>+E90-E91</f>
        <v>#REF!</v>
      </c>
      <c r="F92" s="103" t="e">
        <f>D92-E92</f>
        <v>#REF!</v>
      </c>
      <c r="G92" s="104" t="e">
        <f>IF(E92=0,"-    ",F92/E92)</f>
        <v>#REF!</v>
      </c>
    </row>
    <row r="93" spans="1:7" s="100" customFormat="1" ht="12.75">
      <c r="A93" s="108"/>
      <c r="B93" s="109"/>
      <c r="C93" s="7"/>
      <c r="D93" s="101"/>
      <c r="E93" s="101"/>
      <c r="F93" s="101"/>
      <c r="G93" s="102"/>
    </row>
    <row r="94" spans="1:7" s="100" customFormat="1" ht="12.75">
      <c r="A94" s="41" t="s">
        <v>210</v>
      </c>
      <c r="B94" s="7" t="s">
        <v>211</v>
      </c>
      <c r="C94" s="7"/>
      <c r="D94" s="101"/>
      <c r="E94" s="101"/>
      <c r="F94" s="101"/>
      <c r="G94" s="102"/>
    </row>
    <row r="95" spans="1:7" s="100" customFormat="1" ht="12.75">
      <c r="A95" s="108"/>
      <c r="B95" s="28" t="s">
        <v>326</v>
      </c>
      <c r="C95" s="7" t="s">
        <v>250</v>
      </c>
      <c r="D95" s="101">
        <f>'Alimentazione CE Ricavi'!H227</f>
        <v>0</v>
      </c>
      <c r="E95" s="101">
        <f>'Alimentazione CE Ricavi'!I227</f>
        <v>0</v>
      </c>
      <c r="F95" s="101">
        <f>D95-E95</f>
        <v>0</v>
      </c>
      <c r="G95" s="102" t="str">
        <f>IF(E95=0,"-    ",F95/E95)</f>
        <v>-    </v>
      </c>
    </row>
    <row r="96" spans="1:7" s="100" customFormat="1" ht="12.75">
      <c r="A96" s="108"/>
      <c r="B96" s="28" t="s">
        <v>327</v>
      </c>
      <c r="C96" s="7" t="s">
        <v>251</v>
      </c>
      <c r="D96" s="101" t="e">
        <f>#REF!</f>
        <v>#REF!</v>
      </c>
      <c r="E96" s="101" t="e">
        <f>#REF!</f>
        <v>#REF!</v>
      </c>
      <c r="F96" s="101" t="e">
        <f>D96-E96</f>
        <v>#REF!</v>
      </c>
      <c r="G96" s="102" t="e">
        <f>IF(E96=0,"-    ",F96/E96)</f>
        <v>#REF!</v>
      </c>
    </row>
    <row r="97" spans="1:7" s="100" customFormat="1" ht="12.75">
      <c r="A97" s="394" t="s">
        <v>322</v>
      </c>
      <c r="B97" s="395"/>
      <c r="C97" s="395" t="s">
        <v>209</v>
      </c>
      <c r="D97" s="103" t="e">
        <f>D95-D96</f>
        <v>#REF!</v>
      </c>
      <c r="E97" s="103" t="e">
        <f>E95-E96</f>
        <v>#REF!</v>
      </c>
      <c r="F97" s="103" t="e">
        <f>D97-E97</f>
        <v>#REF!</v>
      </c>
      <c r="G97" s="104" t="e">
        <f>IF(E97=0,"-    ",F97/E97)</f>
        <v>#REF!</v>
      </c>
    </row>
    <row r="98" spans="1:7" s="100" customFormat="1" ht="12.75">
      <c r="A98" s="108"/>
      <c r="B98" s="109"/>
      <c r="C98" s="7"/>
      <c r="D98" s="101"/>
      <c r="E98" s="101"/>
      <c r="F98" s="101"/>
      <c r="G98" s="102"/>
    </row>
    <row r="99" spans="1:7" s="100" customFormat="1" ht="12.75">
      <c r="A99" s="43" t="s">
        <v>212</v>
      </c>
      <c r="B99" s="7" t="s">
        <v>213</v>
      </c>
      <c r="C99" s="105"/>
      <c r="D99" s="101"/>
      <c r="E99" s="101"/>
      <c r="F99" s="101"/>
      <c r="G99" s="102"/>
    </row>
    <row r="100" spans="1:7" s="100" customFormat="1" ht="12.75">
      <c r="A100" s="43"/>
      <c r="B100" s="30">
        <v>1</v>
      </c>
      <c r="C100" s="26" t="s">
        <v>253</v>
      </c>
      <c r="D100" s="101">
        <f>SUM(D101:D102)</f>
        <v>5737562</v>
      </c>
      <c r="E100" s="101">
        <f>SUM(E101:E102)</f>
        <v>1520129</v>
      </c>
      <c r="F100" s="101">
        <f aca="true" t="shared" si="4" ref="F100:F106">D100-E100</f>
        <v>4217433</v>
      </c>
      <c r="G100" s="102">
        <f aca="true" t="shared" si="5" ref="G100:G106">IF(E100=0,"-    ",F100/E100)</f>
        <v>2.7744</v>
      </c>
    </row>
    <row r="101" spans="1:7" ht="12.75">
      <c r="A101" s="43"/>
      <c r="B101" s="30"/>
      <c r="C101" s="5" t="s">
        <v>625</v>
      </c>
      <c r="D101" s="12">
        <f>'Alimentazione CE Ricavi'!H229</f>
        <v>3000</v>
      </c>
      <c r="E101" s="12">
        <f>'Alimentazione CE Ricavi'!I229</f>
        <v>0</v>
      </c>
      <c r="F101" s="12">
        <f t="shared" si="4"/>
        <v>3000</v>
      </c>
      <c r="G101" s="94" t="str">
        <f t="shared" si="5"/>
        <v>-    </v>
      </c>
    </row>
    <row r="102" spans="1:7" ht="12.75">
      <c r="A102" s="43"/>
      <c r="B102" s="30"/>
      <c r="C102" s="32" t="s">
        <v>626</v>
      </c>
      <c r="D102" s="12">
        <f>'Alimentazione CE Ricavi'!H231+'Alimentazione CE Ricavi'!H233+'Alimentazione CE Ricavi'!H235+'Alimentazione CE Ricavi'!H236+'Alimentazione CE Ricavi'!H237+'Alimentazione CE Ricavi'!H238+'Alimentazione CE Ricavi'!H239+'Alimentazione CE Ricavi'!H240+'Alimentazione CE Ricavi'!H241+'Alimentazione CE Ricavi'!H243+'Alimentazione CE Ricavi'!H245+'Alimentazione CE Ricavi'!H246+'Alimentazione CE Ricavi'!H247+'Alimentazione CE Ricavi'!H248+'Alimentazione CE Ricavi'!H249+'Alimentazione CE Ricavi'!H250+'Alimentazione CE Ricavi'!H251+'Alimentazione CE Ricavi'!H252</f>
        <v>5734562</v>
      </c>
      <c r="E102" s="12">
        <f>'Alimentazione CE Ricavi'!I231+'Alimentazione CE Ricavi'!I233+'Alimentazione CE Ricavi'!I235+'Alimentazione CE Ricavi'!I236+'Alimentazione CE Ricavi'!I237+'Alimentazione CE Ricavi'!I238+'Alimentazione CE Ricavi'!I239+'Alimentazione CE Ricavi'!I240+'Alimentazione CE Ricavi'!I241+'Alimentazione CE Ricavi'!I243+'Alimentazione CE Ricavi'!I245+'Alimentazione CE Ricavi'!I246+'Alimentazione CE Ricavi'!I247+'Alimentazione CE Ricavi'!I248+'Alimentazione CE Ricavi'!I249+'Alimentazione CE Ricavi'!I250+'Alimentazione CE Ricavi'!I251+'Alimentazione CE Ricavi'!I252</f>
        <v>1520129</v>
      </c>
      <c r="F102" s="12">
        <f t="shared" si="4"/>
        <v>4214433</v>
      </c>
      <c r="G102" s="94">
        <f t="shared" si="5"/>
        <v>2.7724</v>
      </c>
    </row>
    <row r="103" spans="1:7" ht="12.75">
      <c r="A103" s="43"/>
      <c r="B103" s="30">
        <v>2</v>
      </c>
      <c r="C103" s="37" t="s">
        <v>252</v>
      </c>
      <c r="D103" s="101" t="e">
        <f>SUM(D104:D105)</f>
        <v>#REF!</v>
      </c>
      <c r="E103" s="101" t="e">
        <f>SUM(E104:E105)</f>
        <v>#REF!</v>
      </c>
      <c r="F103" s="12" t="e">
        <f t="shared" si="4"/>
        <v>#REF!</v>
      </c>
      <c r="G103" s="94" t="e">
        <f t="shared" si="5"/>
        <v>#REF!</v>
      </c>
    </row>
    <row r="104" spans="1:7" ht="12.75">
      <c r="A104" s="43"/>
      <c r="B104" s="30"/>
      <c r="C104" s="32" t="s">
        <v>627</v>
      </c>
      <c r="D104" s="13" t="e">
        <f>#REF!</f>
        <v>#REF!</v>
      </c>
      <c r="E104" s="13" t="e">
        <f>#REF!</f>
        <v>#REF!</v>
      </c>
      <c r="F104" s="13" t="e">
        <f t="shared" si="4"/>
        <v>#REF!</v>
      </c>
      <c r="G104" s="95" t="e">
        <f t="shared" si="5"/>
        <v>#REF!</v>
      </c>
    </row>
    <row r="105" spans="1:7" ht="12.75">
      <c r="A105" s="43"/>
      <c r="B105" s="30"/>
      <c r="C105" s="5" t="s">
        <v>628</v>
      </c>
      <c r="D105" s="13" t="e">
        <f>#REF!+#REF!+#REF!+#REF!+#REF!+#REF!+#REF!+#REF!+#REF!+#REF!+#REF!+#REF!+#REF!+#REF!+#REF!+#REF!+#REF!+#REF!+#REF!+#REF!+#REF!+#REF!</f>
        <v>#REF!</v>
      </c>
      <c r="E105" s="13" t="e">
        <f>#REF!+#REF!+#REF!+#REF!+#REF!+#REF!+#REF!+#REF!+#REF!+#REF!+#REF!+#REF!+#REF!+#REF!+#REF!+#REF!+#REF!+#REF!+#REF!+#REF!+#REF!+#REF!</f>
        <v>#REF!</v>
      </c>
      <c r="F105" s="13" t="e">
        <f t="shared" si="4"/>
        <v>#REF!</v>
      </c>
      <c r="G105" s="95" t="e">
        <f t="shared" si="5"/>
        <v>#REF!</v>
      </c>
    </row>
    <row r="106" spans="1:7" s="100" customFormat="1" ht="12.75">
      <c r="A106" s="394" t="s">
        <v>323</v>
      </c>
      <c r="B106" s="395"/>
      <c r="C106" s="395" t="s">
        <v>214</v>
      </c>
      <c r="D106" s="103" t="e">
        <f>D100-D103</f>
        <v>#REF!</v>
      </c>
      <c r="E106" s="103" t="e">
        <f>E100-E103</f>
        <v>#REF!</v>
      </c>
      <c r="F106" s="103" t="e">
        <f t="shared" si="4"/>
        <v>#REF!</v>
      </c>
      <c r="G106" s="104" t="e">
        <f t="shared" si="5"/>
        <v>#REF!</v>
      </c>
    </row>
    <row r="107" spans="1:7" s="100" customFormat="1" ht="13.5" thickBot="1">
      <c r="A107" s="110"/>
      <c r="B107" s="25"/>
      <c r="C107" s="26"/>
      <c r="D107" s="111"/>
      <c r="E107" s="111"/>
      <c r="F107" s="111"/>
      <c r="G107" s="112"/>
    </row>
    <row r="108" spans="1:7" s="100" customFormat="1" ht="13.5" thickBot="1">
      <c r="A108" s="392" t="s">
        <v>215</v>
      </c>
      <c r="B108" s="393"/>
      <c r="C108" s="393"/>
      <c r="D108" s="106" t="e">
        <f>D87+D92+D97+D106</f>
        <v>#REF!</v>
      </c>
      <c r="E108" s="106" t="e">
        <f>E87+E92+E97+E106</f>
        <v>#REF!</v>
      </c>
      <c r="F108" s="106" t="e">
        <f>D108-E108</f>
        <v>#REF!</v>
      </c>
      <c r="G108" s="107" t="e">
        <f>IF(E108=0,"-    ",F108/E108)</f>
        <v>#REF!</v>
      </c>
    </row>
    <row r="109" spans="1:7" ht="12.75">
      <c r="A109" s="44"/>
      <c r="B109" s="23"/>
      <c r="C109" s="10"/>
      <c r="D109" s="13"/>
      <c r="E109" s="13"/>
      <c r="F109" s="13"/>
      <c r="G109" s="95"/>
    </row>
    <row r="110" spans="1:7" s="100" customFormat="1" ht="12.75">
      <c r="A110" s="43" t="s">
        <v>324</v>
      </c>
      <c r="B110" s="7" t="s">
        <v>325</v>
      </c>
      <c r="C110" s="105"/>
      <c r="D110" s="101"/>
      <c r="E110" s="101"/>
      <c r="F110" s="101"/>
      <c r="G110" s="102"/>
    </row>
    <row r="111" spans="1:7" s="100" customFormat="1" ht="12.75">
      <c r="A111" s="43"/>
      <c r="B111" s="30" t="s">
        <v>326</v>
      </c>
      <c r="C111" s="26" t="s">
        <v>218</v>
      </c>
      <c r="D111" s="101" t="e">
        <f>SUM(D112:D115)</f>
        <v>#REF!</v>
      </c>
      <c r="E111" s="101" t="e">
        <f>SUM(E112:E115)</f>
        <v>#REF!</v>
      </c>
      <c r="F111" s="101" t="e">
        <f aca="true" t="shared" si="6" ref="F111:F118">D111-E111</f>
        <v>#REF!</v>
      </c>
      <c r="G111" s="102" t="e">
        <f aca="true" t="shared" si="7" ref="G111:G118">IF(E111=0,"-    ",F111/E111)</f>
        <v>#REF!</v>
      </c>
    </row>
    <row r="112" spans="1:7" ht="12.75">
      <c r="A112" s="42"/>
      <c r="B112" s="32"/>
      <c r="C112" s="32" t="s">
        <v>629</v>
      </c>
      <c r="D112" s="12" t="e">
        <f>#REF!</f>
        <v>#REF!</v>
      </c>
      <c r="E112" s="12" t="e">
        <f>#REF!</f>
        <v>#REF!</v>
      </c>
      <c r="F112" s="12" t="e">
        <f t="shared" si="6"/>
        <v>#REF!</v>
      </c>
      <c r="G112" s="94" t="e">
        <f t="shared" si="7"/>
        <v>#REF!</v>
      </c>
    </row>
    <row r="113" spans="1:7" ht="12.75">
      <c r="A113" s="42"/>
      <c r="B113" s="32"/>
      <c r="C113" s="5" t="s">
        <v>630</v>
      </c>
      <c r="D113" s="12" t="e">
        <f>#REF!</f>
        <v>#REF!</v>
      </c>
      <c r="E113" s="12" t="e">
        <f>#REF!</f>
        <v>#REF!</v>
      </c>
      <c r="F113" s="12" t="e">
        <f t="shared" si="6"/>
        <v>#REF!</v>
      </c>
      <c r="G113" s="94" t="e">
        <f t="shared" si="7"/>
        <v>#REF!</v>
      </c>
    </row>
    <row r="114" spans="1:7" ht="12.75">
      <c r="A114" s="42"/>
      <c r="B114" s="32"/>
      <c r="C114" s="5" t="s">
        <v>631</v>
      </c>
      <c r="D114" s="12" t="e">
        <f>#REF!</f>
        <v>#REF!</v>
      </c>
      <c r="E114" s="12" t="e">
        <f>#REF!</f>
        <v>#REF!</v>
      </c>
      <c r="F114" s="12" t="e">
        <f t="shared" si="6"/>
        <v>#REF!</v>
      </c>
      <c r="G114" s="94" t="e">
        <f t="shared" si="7"/>
        <v>#REF!</v>
      </c>
    </row>
    <row r="115" spans="1:7" ht="12.75">
      <c r="A115" s="42"/>
      <c r="B115" s="32"/>
      <c r="C115" s="5" t="s">
        <v>632</v>
      </c>
      <c r="D115" s="12" t="e">
        <f>#REF!</f>
        <v>#REF!</v>
      </c>
      <c r="E115" s="12" t="e">
        <f>#REF!</f>
        <v>#REF!</v>
      </c>
      <c r="F115" s="12" t="e">
        <f t="shared" si="6"/>
        <v>#REF!</v>
      </c>
      <c r="G115" s="94" t="e">
        <f t="shared" si="7"/>
        <v>#REF!</v>
      </c>
    </row>
    <row r="116" spans="1:7" s="100" customFormat="1" ht="12.75">
      <c r="A116" s="43"/>
      <c r="B116" s="30" t="s">
        <v>327</v>
      </c>
      <c r="C116" s="37" t="s">
        <v>254</v>
      </c>
      <c r="D116" s="101" t="e">
        <f>#REF!+#REF!</f>
        <v>#REF!</v>
      </c>
      <c r="E116" s="101" t="e">
        <f>#REF!+#REF!</f>
        <v>#REF!</v>
      </c>
      <c r="F116" s="101" t="e">
        <f t="shared" si="6"/>
        <v>#REF!</v>
      </c>
      <c r="G116" s="102" t="e">
        <f t="shared" si="7"/>
        <v>#REF!</v>
      </c>
    </row>
    <row r="117" spans="1:7" s="100" customFormat="1" ht="12.75">
      <c r="A117" s="43"/>
      <c r="B117" s="30" t="s">
        <v>328</v>
      </c>
      <c r="C117" s="39" t="s">
        <v>329</v>
      </c>
      <c r="D117" s="111" t="e">
        <f>#REF!</f>
        <v>#REF!</v>
      </c>
      <c r="E117" s="111" t="e">
        <f>#REF!</f>
        <v>#REF!</v>
      </c>
      <c r="F117" s="111" t="e">
        <f t="shared" si="6"/>
        <v>#REF!</v>
      </c>
      <c r="G117" s="112" t="e">
        <f t="shared" si="7"/>
        <v>#REF!</v>
      </c>
    </row>
    <row r="118" spans="1:7" s="100" customFormat="1" ht="12.75">
      <c r="A118" s="394" t="s">
        <v>0</v>
      </c>
      <c r="B118" s="395"/>
      <c r="C118" s="395" t="s">
        <v>214</v>
      </c>
      <c r="D118" s="103" t="e">
        <f>D111+D116+D117</f>
        <v>#REF!</v>
      </c>
      <c r="E118" s="103" t="e">
        <f>E111+E116+E117</f>
        <v>#REF!</v>
      </c>
      <c r="F118" s="103" t="e">
        <f t="shared" si="6"/>
        <v>#REF!</v>
      </c>
      <c r="G118" s="104" t="e">
        <f t="shared" si="7"/>
        <v>#REF!</v>
      </c>
    </row>
    <row r="119" spans="1:7" ht="12.75">
      <c r="A119" s="42"/>
      <c r="B119" s="3"/>
      <c r="C119" s="8"/>
      <c r="D119" s="16"/>
      <c r="E119" s="16"/>
      <c r="F119" s="16"/>
      <c r="G119" s="96"/>
    </row>
    <row r="120" spans="1:7" ht="13.5" thickBot="1">
      <c r="A120" s="45" t="s">
        <v>216</v>
      </c>
      <c r="B120" s="46"/>
      <c r="C120" s="47"/>
      <c r="D120" s="48" t="e">
        <f>D108-D118</f>
        <v>#REF!</v>
      </c>
      <c r="E120" s="48" t="e">
        <f>E108-E118</f>
        <v>#REF!</v>
      </c>
      <c r="F120" s="48" t="e">
        <f>D120-E120</f>
        <v>#REF!</v>
      </c>
      <c r="G120" s="97" t="e">
        <f>IF(E120=0,"-    ",F120/E120)</f>
        <v>#REF!</v>
      </c>
    </row>
    <row r="121" ht="12.75">
      <c r="C121" s="1"/>
    </row>
  </sheetData>
  <sheetProtection/>
  <mergeCells count="14">
    <mergeCell ref="A2:E2"/>
    <mergeCell ref="F2:G2"/>
    <mergeCell ref="A4:C5"/>
    <mergeCell ref="D4:D5"/>
    <mergeCell ref="E4:E5"/>
    <mergeCell ref="F4:G4"/>
    <mergeCell ref="A108:C108"/>
    <mergeCell ref="A118:C118"/>
    <mergeCell ref="A35:C35"/>
    <mergeCell ref="A85:C85"/>
    <mergeCell ref="A87:C87"/>
    <mergeCell ref="A92:C92"/>
    <mergeCell ref="A97:C97"/>
    <mergeCell ref="A106:C106"/>
  </mergeCells>
  <printOptions horizontalCentered="1"/>
  <pageMargins left="0.11811023622047245" right="0.2755905511811024" top="0.984251968503937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zoomScale="130" zoomScaleNormal="130" zoomScalePageLayoutView="0" workbookViewId="0" topLeftCell="A1">
      <pane xSplit="3" ySplit="7" topLeftCell="D8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A1" sqref="A1:A2"/>
    </sheetView>
  </sheetViews>
  <sheetFormatPr defaultColWidth="9.140625" defaultRowHeight="12.75"/>
  <cols>
    <col min="1" max="1" width="3.7109375" style="2" customWidth="1"/>
    <col min="2" max="2" width="3.421875" style="2" customWidth="1"/>
    <col min="3" max="3" width="79.57421875" style="0" bestFit="1" customWidth="1"/>
    <col min="4" max="6" width="11.421875" style="17" bestFit="1" customWidth="1"/>
    <col min="7" max="7" width="11.421875" style="98" bestFit="1" customWidth="1"/>
  </cols>
  <sheetData>
    <row r="1" ht="12.75">
      <c r="A1" s="411" t="s">
        <v>673</v>
      </c>
    </row>
    <row r="2" ht="12.75">
      <c r="A2" s="411" t="s">
        <v>674</v>
      </c>
    </row>
    <row r="3" spans="1:3" ht="15.75">
      <c r="A3" s="6"/>
      <c r="B3" s="6"/>
      <c r="C3" s="11"/>
    </row>
    <row r="4" spans="1:7" s="34" customFormat="1" ht="20.25">
      <c r="A4" s="396" t="s">
        <v>256</v>
      </c>
      <c r="B4" s="397"/>
      <c r="C4" s="397"/>
      <c r="D4" s="397"/>
      <c r="E4" s="398"/>
      <c r="F4" s="399" t="s">
        <v>257</v>
      </c>
      <c r="G4" s="399"/>
    </row>
    <row r="5" spans="1:7" s="34" customFormat="1" ht="13.5" thickBot="1">
      <c r="A5" s="35"/>
      <c r="B5" s="35"/>
      <c r="C5" s="36"/>
      <c r="D5" s="27"/>
      <c r="E5" s="27"/>
      <c r="F5" s="27"/>
      <c r="G5" s="90"/>
    </row>
    <row r="6" spans="1:7" s="34" customFormat="1" ht="12.75" customHeight="1">
      <c r="A6" s="400" t="s">
        <v>641</v>
      </c>
      <c r="B6" s="401"/>
      <c r="C6" s="401"/>
      <c r="D6" s="365" t="s">
        <v>644</v>
      </c>
      <c r="E6" s="365" t="s">
        <v>645</v>
      </c>
      <c r="F6" s="365" t="s">
        <v>646</v>
      </c>
      <c r="G6" s="366"/>
    </row>
    <row r="7" spans="1:7" s="34" customFormat="1" ht="12.75">
      <c r="A7" s="402"/>
      <c r="B7" s="403"/>
      <c r="C7" s="403"/>
      <c r="D7" s="399"/>
      <c r="E7" s="399"/>
      <c r="F7" s="33" t="s">
        <v>258</v>
      </c>
      <c r="G7" s="91" t="s">
        <v>259</v>
      </c>
    </row>
    <row r="8" spans="1:7" ht="12.75">
      <c r="A8" s="40"/>
      <c r="B8" s="29"/>
      <c r="C8" s="4"/>
      <c r="D8" s="18"/>
      <c r="E8" s="18"/>
      <c r="F8" s="18"/>
      <c r="G8" s="92"/>
    </row>
    <row r="9" spans="1:7" ht="12.75">
      <c r="A9" s="41" t="s">
        <v>198</v>
      </c>
      <c r="B9" s="28"/>
      <c r="C9" s="7" t="s">
        <v>199</v>
      </c>
      <c r="D9" s="15"/>
      <c r="E9" s="15"/>
      <c r="F9" s="15"/>
      <c r="G9" s="93"/>
    </row>
    <row r="10" spans="1:7" ht="12.75">
      <c r="A10" s="41"/>
      <c r="B10" s="28"/>
      <c r="C10" s="8"/>
      <c r="D10" s="15"/>
      <c r="E10" s="15"/>
      <c r="F10" s="15"/>
      <c r="G10" s="93"/>
    </row>
    <row r="11" spans="1:7" s="100" customFormat="1" ht="12.75">
      <c r="A11" s="41">
        <v>1</v>
      </c>
      <c r="B11" s="7" t="s">
        <v>200</v>
      </c>
      <c r="C11" s="7"/>
      <c r="D11" s="99">
        <v>32940062</v>
      </c>
      <c r="E11" s="99">
        <v>31359860</v>
      </c>
      <c r="F11" s="99">
        <v>1580202</v>
      </c>
      <c r="G11" s="102">
        <v>0.0504</v>
      </c>
    </row>
    <row r="12" spans="1:7" ht="12.75">
      <c r="A12" s="42"/>
      <c r="B12" s="5" t="s">
        <v>610</v>
      </c>
      <c r="C12" s="32"/>
      <c r="D12" s="12">
        <v>20897681</v>
      </c>
      <c r="E12" s="12">
        <v>11501133</v>
      </c>
      <c r="F12" s="12">
        <v>9396548</v>
      </c>
      <c r="G12" s="94">
        <v>0.817</v>
      </c>
    </row>
    <row r="13" spans="1:7" ht="12.75">
      <c r="A13" s="41"/>
      <c r="B13" s="5" t="s">
        <v>609</v>
      </c>
      <c r="C13" s="32"/>
      <c r="D13" s="12">
        <v>744147</v>
      </c>
      <c r="E13" s="12">
        <v>879505</v>
      </c>
      <c r="F13" s="12">
        <v>-135358</v>
      </c>
      <c r="G13" s="94">
        <v>-0.1539</v>
      </c>
    </row>
    <row r="14" spans="1:7" ht="12.75">
      <c r="A14" s="41"/>
      <c r="B14" s="32"/>
      <c r="C14" s="32" t="s">
        <v>261</v>
      </c>
      <c r="D14" s="12">
        <v>216035</v>
      </c>
      <c r="E14" s="31">
        <v>599607</v>
      </c>
      <c r="F14" s="12">
        <v>-383572</v>
      </c>
      <c r="G14" s="94">
        <v>-0.6397</v>
      </c>
    </row>
    <row r="15" spans="1:7" ht="12.75">
      <c r="A15" s="42"/>
      <c r="B15" s="32"/>
      <c r="C15" s="32" t="s">
        <v>262</v>
      </c>
      <c r="D15" s="12">
        <v>0</v>
      </c>
      <c r="E15" s="31">
        <v>0</v>
      </c>
      <c r="F15" s="12">
        <v>0</v>
      </c>
      <c r="G15" s="94" t="s">
        <v>672</v>
      </c>
    </row>
    <row r="16" spans="1:7" ht="12.75">
      <c r="A16" s="41"/>
      <c r="B16" s="32"/>
      <c r="C16" s="32" t="s">
        <v>263</v>
      </c>
      <c r="D16" s="12">
        <v>0</v>
      </c>
      <c r="E16" s="31">
        <v>0</v>
      </c>
      <c r="F16" s="12">
        <v>0</v>
      </c>
      <c r="G16" s="94" t="s">
        <v>672</v>
      </c>
    </row>
    <row r="17" spans="1:7" ht="12.75">
      <c r="A17" s="42"/>
      <c r="B17" s="32"/>
      <c r="C17" s="32" t="s">
        <v>264</v>
      </c>
      <c r="D17" s="12">
        <v>317315</v>
      </c>
      <c r="E17" s="31">
        <v>0</v>
      </c>
      <c r="F17" s="12">
        <v>317315</v>
      </c>
      <c r="G17" s="94" t="s">
        <v>672</v>
      </c>
    </row>
    <row r="18" spans="1:7" ht="12.75">
      <c r="A18" s="42"/>
      <c r="B18" s="32"/>
      <c r="C18" s="32" t="s">
        <v>265</v>
      </c>
      <c r="D18" s="12">
        <v>0</v>
      </c>
      <c r="E18" s="31">
        <v>0</v>
      </c>
      <c r="F18" s="12">
        <v>0</v>
      </c>
      <c r="G18" s="94" t="s">
        <v>672</v>
      </c>
    </row>
    <row r="19" spans="1:7" ht="12.75">
      <c r="A19" s="41"/>
      <c r="B19" s="32"/>
      <c r="C19" s="32" t="s">
        <v>266</v>
      </c>
      <c r="D19" s="12">
        <v>210797</v>
      </c>
      <c r="E19" s="31">
        <v>279898</v>
      </c>
      <c r="F19" s="12">
        <v>-69101</v>
      </c>
      <c r="G19" s="94">
        <v>-0.2469</v>
      </c>
    </row>
    <row r="20" spans="1:7" ht="12.75">
      <c r="A20" s="42"/>
      <c r="B20" s="32" t="s">
        <v>608</v>
      </c>
      <c r="C20" s="32"/>
      <c r="D20" s="12">
        <v>11298234</v>
      </c>
      <c r="E20" s="31">
        <v>18979222</v>
      </c>
      <c r="F20" s="12">
        <v>-7680988</v>
      </c>
      <c r="G20" s="94">
        <v>-0.4047</v>
      </c>
    </row>
    <row r="21" spans="1:7" ht="12.75">
      <c r="A21" s="42"/>
      <c r="B21" s="32"/>
      <c r="C21" s="32" t="s">
        <v>267</v>
      </c>
      <c r="D21" s="12">
        <v>3592483</v>
      </c>
      <c r="E21" s="31">
        <v>3689608</v>
      </c>
      <c r="F21" s="12">
        <v>-97125</v>
      </c>
      <c r="G21" s="94">
        <v>-0.0263</v>
      </c>
    </row>
    <row r="22" spans="1:7" ht="12.75">
      <c r="A22" s="42"/>
      <c r="B22" s="32"/>
      <c r="C22" s="32" t="s">
        <v>268</v>
      </c>
      <c r="D22" s="12">
        <v>1200857</v>
      </c>
      <c r="E22" s="31">
        <v>3157743</v>
      </c>
      <c r="F22" s="12">
        <v>-1956886</v>
      </c>
      <c r="G22" s="94">
        <v>-0.6197</v>
      </c>
    </row>
    <row r="23" spans="1:7" ht="12.75">
      <c r="A23" s="42"/>
      <c r="B23" s="32"/>
      <c r="C23" s="32" t="s">
        <v>269</v>
      </c>
      <c r="D23" s="12">
        <v>1300798</v>
      </c>
      <c r="E23" s="31">
        <v>9686646</v>
      </c>
      <c r="F23" s="12">
        <v>-8385848</v>
      </c>
      <c r="G23" s="94">
        <v>-0.8657</v>
      </c>
    </row>
    <row r="24" spans="1:7" ht="12.75">
      <c r="A24" s="42"/>
      <c r="B24" s="32"/>
      <c r="C24" s="32" t="s">
        <v>270</v>
      </c>
      <c r="D24" s="12">
        <v>5204096</v>
      </c>
      <c r="E24" s="31">
        <v>2445225</v>
      </c>
      <c r="F24" s="12">
        <v>2758871</v>
      </c>
      <c r="G24" s="94">
        <v>1.1283</v>
      </c>
    </row>
    <row r="25" spans="1:7" ht="12.75">
      <c r="A25" s="42"/>
      <c r="B25" s="32" t="s">
        <v>607</v>
      </c>
      <c r="C25" s="32"/>
      <c r="D25" s="12">
        <v>0</v>
      </c>
      <c r="E25" s="31">
        <v>0</v>
      </c>
      <c r="F25" s="12">
        <v>0</v>
      </c>
      <c r="G25" s="94" t="s">
        <v>672</v>
      </c>
    </row>
    <row r="26" spans="1:7" s="100" customFormat="1" ht="12.75">
      <c r="A26" s="41">
        <v>2</v>
      </c>
      <c r="B26" s="7" t="s">
        <v>271</v>
      </c>
      <c r="C26" s="37"/>
      <c r="D26" s="99">
        <v>0</v>
      </c>
      <c r="E26" s="99">
        <v>0</v>
      </c>
      <c r="F26" s="99">
        <v>0</v>
      </c>
      <c r="G26" s="102" t="s">
        <v>672</v>
      </c>
    </row>
    <row r="27" spans="1:7" s="100" customFormat="1" ht="12.75">
      <c r="A27" s="41">
        <v>3</v>
      </c>
      <c r="B27" s="7" t="s">
        <v>272</v>
      </c>
      <c r="C27" s="7"/>
      <c r="D27" s="99">
        <v>4589493</v>
      </c>
      <c r="E27" s="99">
        <v>0</v>
      </c>
      <c r="F27" s="99">
        <v>4589493</v>
      </c>
      <c r="G27" s="102" t="s">
        <v>672</v>
      </c>
    </row>
    <row r="28" spans="1:7" s="100" customFormat="1" ht="12.75">
      <c r="A28" s="41">
        <v>4</v>
      </c>
      <c r="B28" s="7" t="s">
        <v>273</v>
      </c>
      <c r="C28" s="7"/>
      <c r="D28" s="99">
        <v>59660140</v>
      </c>
      <c r="E28" s="99">
        <v>53033456</v>
      </c>
      <c r="F28" s="99">
        <v>6626684</v>
      </c>
      <c r="G28" s="102">
        <v>0.125</v>
      </c>
    </row>
    <row r="29" spans="1:7" ht="12.75">
      <c r="A29" s="41"/>
      <c r="B29" s="5" t="s">
        <v>612</v>
      </c>
      <c r="C29" s="38"/>
      <c r="D29" s="12">
        <v>57236082</v>
      </c>
      <c r="E29" s="12">
        <v>51234917</v>
      </c>
      <c r="F29" s="12">
        <v>6001165</v>
      </c>
      <c r="G29" s="94">
        <v>0.1171</v>
      </c>
    </row>
    <row r="30" spans="1:7" ht="12.75">
      <c r="A30" s="42"/>
      <c r="B30" s="5" t="s">
        <v>606</v>
      </c>
      <c r="C30" s="38"/>
      <c r="D30" s="12">
        <v>1382334</v>
      </c>
      <c r="E30" s="12">
        <v>1417526</v>
      </c>
      <c r="F30" s="12">
        <v>-35192</v>
      </c>
      <c r="G30" s="94">
        <v>-0.0248</v>
      </c>
    </row>
    <row r="31" spans="1:7" ht="12.75">
      <c r="A31" s="41"/>
      <c r="B31" s="5" t="s">
        <v>611</v>
      </c>
      <c r="C31" s="38"/>
      <c r="D31" s="12">
        <v>1041724</v>
      </c>
      <c r="E31" s="12">
        <v>381013</v>
      </c>
      <c r="F31" s="12">
        <v>660711</v>
      </c>
      <c r="G31" s="94">
        <v>1.7341</v>
      </c>
    </row>
    <row r="32" spans="1:7" s="100" customFormat="1" ht="12.75">
      <c r="A32" s="41">
        <v>5</v>
      </c>
      <c r="B32" s="7" t="s">
        <v>274</v>
      </c>
      <c r="C32" s="7"/>
      <c r="D32" s="99">
        <v>815998</v>
      </c>
      <c r="E32" s="99">
        <v>484118</v>
      </c>
      <c r="F32" s="99">
        <v>331880</v>
      </c>
      <c r="G32" s="102">
        <v>0.6855</v>
      </c>
    </row>
    <row r="33" spans="1:7" s="100" customFormat="1" ht="12.75">
      <c r="A33" s="41">
        <v>6</v>
      </c>
      <c r="B33" s="7" t="s">
        <v>278</v>
      </c>
      <c r="C33" s="7"/>
      <c r="D33" s="99">
        <v>819826</v>
      </c>
      <c r="E33" s="99">
        <v>826766</v>
      </c>
      <c r="F33" s="99">
        <v>-6940</v>
      </c>
      <c r="G33" s="102">
        <v>-0.0084</v>
      </c>
    </row>
    <row r="34" spans="1:7" s="100" customFormat="1" ht="12.75">
      <c r="A34" s="41">
        <v>7</v>
      </c>
      <c r="B34" s="7" t="s">
        <v>275</v>
      </c>
      <c r="C34" s="7"/>
      <c r="D34" s="99">
        <v>4849811</v>
      </c>
      <c r="E34" s="99">
        <v>4870094</v>
      </c>
      <c r="F34" s="99">
        <v>-20283</v>
      </c>
      <c r="G34" s="102">
        <v>-0.0042</v>
      </c>
    </row>
    <row r="35" spans="1:7" s="100" customFormat="1" ht="12.75">
      <c r="A35" s="41">
        <v>8</v>
      </c>
      <c r="B35" s="7" t="s">
        <v>276</v>
      </c>
      <c r="C35" s="7"/>
      <c r="D35" s="101">
        <v>0</v>
      </c>
      <c r="E35" s="101">
        <v>0</v>
      </c>
      <c r="F35" s="101">
        <v>0</v>
      </c>
      <c r="G35" s="102" t="s">
        <v>672</v>
      </c>
    </row>
    <row r="36" spans="1:7" s="100" customFormat="1" ht="12.75">
      <c r="A36" s="41">
        <v>9</v>
      </c>
      <c r="B36" s="7" t="s">
        <v>277</v>
      </c>
      <c r="C36" s="7"/>
      <c r="D36" s="101">
        <v>158758</v>
      </c>
      <c r="E36" s="101">
        <v>396398</v>
      </c>
      <c r="F36" s="101">
        <v>-237640</v>
      </c>
      <c r="G36" s="102">
        <v>-0.5995</v>
      </c>
    </row>
    <row r="37" spans="1:7" s="100" customFormat="1" ht="12.75">
      <c r="A37" s="394" t="s">
        <v>279</v>
      </c>
      <c r="B37" s="395"/>
      <c r="C37" s="395"/>
      <c r="D37" s="103">
        <v>103834088</v>
      </c>
      <c r="E37" s="103">
        <v>90970692</v>
      </c>
      <c r="F37" s="103">
        <v>12863396</v>
      </c>
      <c r="G37" s="104">
        <v>0.1414</v>
      </c>
    </row>
    <row r="38" spans="1:7" ht="12.75">
      <c r="A38" s="42"/>
      <c r="B38" s="3"/>
      <c r="C38" s="8"/>
      <c r="D38" s="12"/>
      <c r="E38" s="12"/>
      <c r="F38" s="12"/>
      <c r="G38" s="94"/>
    </row>
    <row r="39" spans="1:7" s="100" customFormat="1" ht="12.75">
      <c r="A39" s="41" t="s">
        <v>201</v>
      </c>
      <c r="B39" s="28"/>
      <c r="C39" s="9" t="s">
        <v>202</v>
      </c>
      <c r="D39" s="101"/>
      <c r="E39" s="101"/>
      <c r="F39" s="101"/>
      <c r="G39" s="102"/>
    </row>
    <row r="40" spans="1:7" s="100" customFormat="1" ht="12.75">
      <c r="A40" s="41">
        <v>1</v>
      </c>
      <c r="B40" s="7" t="s">
        <v>203</v>
      </c>
      <c r="C40" s="105"/>
      <c r="D40" s="101">
        <v>28984975</v>
      </c>
      <c r="E40" s="101">
        <v>27627260</v>
      </c>
      <c r="F40" s="101">
        <v>1357715</v>
      </c>
      <c r="G40" s="102">
        <v>0.0491</v>
      </c>
    </row>
    <row r="41" spans="1:7" ht="12.75">
      <c r="A41" s="41"/>
      <c r="B41" s="5" t="s">
        <v>613</v>
      </c>
      <c r="C41" s="38"/>
      <c r="D41" s="12">
        <v>27828558</v>
      </c>
      <c r="E41" s="12">
        <v>26276383</v>
      </c>
      <c r="F41" s="12">
        <v>1552175</v>
      </c>
      <c r="G41" s="94">
        <v>0.0591</v>
      </c>
    </row>
    <row r="42" spans="1:7" ht="12.75">
      <c r="A42" s="42"/>
      <c r="B42" s="5" t="s">
        <v>614</v>
      </c>
      <c r="C42" s="38"/>
      <c r="D42" s="12">
        <v>1156417</v>
      </c>
      <c r="E42" s="12">
        <v>1350877</v>
      </c>
      <c r="F42" s="12">
        <v>-194460</v>
      </c>
      <c r="G42" s="94">
        <v>-0.144</v>
      </c>
    </row>
    <row r="43" spans="1:7" s="100" customFormat="1" ht="12.75">
      <c r="A43" s="41">
        <v>2</v>
      </c>
      <c r="B43" s="7" t="s">
        <v>280</v>
      </c>
      <c r="C43" s="105"/>
      <c r="D43" s="101">
        <v>5853893</v>
      </c>
      <c r="E43" s="101">
        <v>5963513</v>
      </c>
      <c r="F43" s="101">
        <v>-109620</v>
      </c>
      <c r="G43" s="102">
        <v>-0.0184</v>
      </c>
    </row>
    <row r="44" spans="1:7" ht="12.75">
      <c r="A44" s="42"/>
      <c r="B44" s="32" t="s">
        <v>287</v>
      </c>
      <c r="C44" s="32"/>
      <c r="D44" s="12">
        <v>0</v>
      </c>
      <c r="E44" s="31">
        <v>0</v>
      </c>
      <c r="F44" s="12">
        <v>0</v>
      </c>
      <c r="G44" s="94" t="s">
        <v>672</v>
      </c>
    </row>
    <row r="45" spans="1:7" ht="12.75">
      <c r="A45" s="42"/>
      <c r="B45" s="32" t="s">
        <v>288</v>
      </c>
      <c r="C45" s="32"/>
      <c r="D45" s="12">
        <v>0</v>
      </c>
      <c r="E45" s="12">
        <v>0</v>
      </c>
      <c r="F45" s="12">
        <v>0</v>
      </c>
      <c r="G45" s="94" t="s">
        <v>672</v>
      </c>
    </row>
    <row r="46" spans="1:7" ht="12.75">
      <c r="A46" s="42"/>
      <c r="B46" s="32" t="s">
        <v>289</v>
      </c>
      <c r="C46" s="32"/>
      <c r="D46" s="12">
        <v>165524</v>
      </c>
      <c r="E46" s="12">
        <v>160562</v>
      </c>
      <c r="F46" s="12">
        <v>4962</v>
      </c>
      <c r="G46" s="94">
        <v>0.0309</v>
      </c>
    </row>
    <row r="47" spans="1:7" ht="12.75">
      <c r="A47" s="42"/>
      <c r="B47" s="32" t="s">
        <v>290</v>
      </c>
      <c r="C47" s="32"/>
      <c r="D47" s="12">
        <v>0</v>
      </c>
      <c r="E47" s="12">
        <v>0</v>
      </c>
      <c r="F47" s="12">
        <v>0</v>
      </c>
      <c r="G47" s="94" t="s">
        <v>672</v>
      </c>
    </row>
    <row r="48" spans="1:7" ht="12.75">
      <c r="A48" s="42"/>
      <c r="B48" s="32" t="s">
        <v>291</v>
      </c>
      <c r="C48" s="32"/>
      <c r="D48" s="12">
        <v>0</v>
      </c>
      <c r="E48" s="12">
        <v>0</v>
      </c>
      <c r="F48" s="12">
        <v>0</v>
      </c>
      <c r="G48" s="94" t="s">
        <v>672</v>
      </c>
    </row>
    <row r="49" spans="1:7" ht="12.75">
      <c r="A49" s="42"/>
      <c r="B49" s="32" t="s">
        <v>292</v>
      </c>
      <c r="C49" s="32"/>
      <c r="D49" s="12">
        <v>0</v>
      </c>
      <c r="E49" s="12">
        <v>0</v>
      </c>
      <c r="F49" s="12">
        <v>0</v>
      </c>
      <c r="G49" s="94" t="s">
        <v>672</v>
      </c>
    </row>
    <row r="50" spans="1:7" ht="12.75">
      <c r="A50" s="42"/>
      <c r="B50" s="32" t="s">
        <v>293</v>
      </c>
      <c r="C50" s="32"/>
      <c r="D50" s="12">
        <v>0</v>
      </c>
      <c r="E50" s="12">
        <v>0</v>
      </c>
      <c r="F50" s="12">
        <v>0</v>
      </c>
      <c r="G50" s="94" t="s">
        <v>672</v>
      </c>
    </row>
    <row r="51" spans="1:7" ht="12.75">
      <c r="A51" s="42"/>
      <c r="B51" s="32" t="s">
        <v>294</v>
      </c>
      <c r="C51" s="32"/>
      <c r="D51" s="12">
        <v>0</v>
      </c>
      <c r="E51" s="12">
        <v>0</v>
      </c>
      <c r="F51" s="12">
        <v>0</v>
      </c>
      <c r="G51" s="94" t="s">
        <v>672</v>
      </c>
    </row>
    <row r="52" spans="1:7" ht="12.75">
      <c r="A52" s="42"/>
      <c r="B52" s="32" t="s">
        <v>295</v>
      </c>
      <c r="C52" s="32"/>
      <c r="D52" s="12">
        <v>0</v>
      </c>
      <c r="E52" s="12">
        <v>0</v>
      </c>
      <c r="F52" s="12">
        <v>0</v>
      </c>
      <c r="G52" s="94" t="s">
        <v>672</v>
      </c>
    </row>
    <row r="53" spans="1:7" ht="12.75">
      <c r="A53" s="42"/>
      <c r="B53" s="32" t="s">
        <v>296</v>
      </c>
      <c r="C53" s="32"/>
      <c r="D53" s="12">
        <v>0</v>
      </c>
      <c r="E53" s="12">
        <v>0</v>
      </c>
      <c r="F53" s="12">
        <v>0</v>
      </c>
      <c r="G53" s="94" t="s">
        <v>672</v>
      </c>
    </row>
    <row r="54" spans="1:7" ht="12.75">
      <c r="A54" s="42"/>
      <c r="B54" s="32" t="s">
        <v>297</v>
      </c>
      <c r="C54" s="32"/>
      <c r="D54" s="12">
        <v>1089</v>
      </c>
      <c r="E54" s="12">
        <v>5941</v>
      </c>
      <c r="F54" s="12">
        <v>-4852</v>
      </c>
      <c r="G54" s="94">
        <v>-0.8167</v>
      </c>
    </row>
    <row r="55" spans="1:7" ht="12.75">
      <c r="A55" s="42"/>
      <c r="B55" s="32" t="s">
        <v>298</v>
      </c>
      <c r="C55" s="32"/>
      <c r="D55" s="12">
        <v>0</v>
      </c>
      <c r="E55" s="12">
        <v>0</v>
      </c>
      <c r="F55" s="12">
        <v>0</v>
      </c>
      <c r="G55" s="94" t="s">
        <v>672</v>
      </c>
    </row>
    <row r="56" spans="1:7" ht="12.75">
      <c r="A56" s="42"/>
      <c r="B56" s="32" t="s">
        <v>299</v>
      </c>
      <c r="C56" s="32"/>
      <c r="D56" s="12">
        <v>1140416</v>
      </c>
      <c r="E56" s="12">
        <v>1067608</v>
      </c>
      <c r="F56" s="12">
        <v>72808</v>
      </c>
      <c r="G56" s="94">
        <v>0.0682</v>
      </c>
    </row>
    <row r="57" spans="1:7" ht="12.75">
      <c r="A57" s="42"/>
      <c r="B57" s="32" t="s">
        <v>300</v>
      </c>
      <c r="C57" s="32"/>
      <c r="D57" s="12">
        <v>424923</v>
      </c>
      <c r="E57" s="12">
        <v>615800</v>
      </c>
      <c r="F57" s="12">
        <v>-190877</v>
      </c>
      <c r="G57" s="94">
        <v>-0.31</v>
      </c>
    </row>
    <row r="58" spans="1:7" ht="12.75">
      <c r="A58" s="42"/>
      <c r="B58" s="32" t="s">
        <v>302</v>
      </c>
      <c r="C58" s="32"/>
      <c r="D58" s="12">
        <v>4121941</v>
      </c>
      <c r="E58" s="12">
        <v>4113602</v>
      </c>
      <c r="F58" s="12">
        <v>8339</v>
      </c>
      <c r="G58" s="94">
        <v>0.002</v>
      </c>
    </row>
    <row r="59" spans="1:7" ht="12.75">
      <c r="A59" s="42"/>
      <c r="B59" s="32" t="s">
        <v>301</v>
      </c>
      <c r="C59" s="32"/>
      <c r="D59" s="12">
        <v>0</v>
      </c>
      <c r="E59" s="12">
        <v>0</v>
      </c>
      <c r="F59" s="12">
        <v>0</v>
      </c>
      <c r="G59" s="94" t="s">
        <v>672</v>
      </c>
    </row>
    <row r="60" spans="1:7" ht="12.75">
      <c r="A60" s="42"/>
      <c r="B60" s="32" t="s">
        <v>303</v>
      </c>
      <c r="C60" s="32"/>
      <c r="D60" s="12">
        <v>0</v>
      </c>
      <c r="E60" s="12">
        <v>0</v>
      </c>
      <c r="F60" s="12">
        <v>0</v>
      </c>
      <c r="G60" s="94" t="s">
        <v>672</v>
      </c>
    </row>
    <row r="61" spans="1:7" s="100" customFormat="1" ht="12.75">
      <c r="A61" s="41">
        <v>3</v>
      </c>
      <c r="B61" s="7" t="s">
        <v>304</v>
      </c>
      <c r="C61" s="105"/>
      <c r="D61" s="101">
        <v>8103400</v>
      </c>
      <c r="E61" s="101">
        <v>7526758</v>
      </c>
      <c r="F61" s="101">
        <v>576642</v>
      </c>
      <c r="G61" s="102">
        <v>0.0766</v>
      </c>
    </row>
    <row r="62" spans="1:7" ht="12.75">
      <c r="A62" s="42"/>
      <c r="B62" s="32" t="s">
        <v>305</v>
      </c>
      <c r="C62" s="32"/>
      <c r="D62" s="12">
        <v>7442108</v>
      </c>
      <c r="E62" s="31">
        <v>7198675</v>
      </c>
      <c r="F62" s="12">
        <v>243433</v>
      </c>
      <c r="G62" s="94">
        <v>0.0338</v>
      </c>
    </row>
    <row r="63" spans="1:7" ht="12.75">
      <c r="A63" s="42"/>
      <c r="B63" s="32" t="s">
        <v>306</v>
      </c>
      <c r="C63" s="32"/>
      <c r="D63" s="12">
        <v>555689</v>
      </c>
      <c r="E63" s="12">
        <v>235863</v>
      </c>
      <c r="F63" s="12">
        <v>319826</v>
      </c>
      <c r="G63" s="94">
        <v>1.356</v>
      </c>
    </row>
    <row r="64" spans="1:7" ht="12.75">
      <c r="A64" s="42"/>
      <c r="B64" s="32" t="s">
        <v>307</v>
      </c>
      <c r="C64" s="32"/>
      <c r="D64" s="12">
        <v>105603</v>
      </c>
      <c r="E64" s="12">
        <v>92220</v>
      </c>
      <c r="F64" s="12">
        <v>13383</v>
      </c>
      <c r="G64" s="94">
        <v>0.1451</v>
      </c>
    </row>
    <row r="65" spans="1:7" s="100" customFormat="1" ht="12.75">
      <c r="A65" s="41">
        <v>4</v>
      </c>
      <c r="B65" s="37" t="s">
        <v>308</v>
      </c>
      <c r="C65" s="105"/>
      <c r="D65" s="101">
        <v>4663162</v>
      </c>
      <c r="E65" s="101">
        <v>3818654</v>
      </c>
      <c r="F65" s="101">
        <v>844508</v>
      </c>
      <c r="G65" s="102">
        <v>0.2212</v>
      </c>
    </row>
    <row r="66" spans="1:7" s="100" customFormat="1" ht="12.75">
      <c r="A66" s="41">
        <v>5</v>
      </c>
      <c r="B66" s="7" t="s">
        <v>204</v>
      </c>
      <c r="C66" s="37"/>
      <c r="D66" s="101">
        <v>414108</v>
      </c>
      <c r="E66" s="101">
        <v>483749</v>
      </c>
      <c r="F66" s="101">
        <v>-69641</v>
      </c>
      <c r="G66" s="102">
        <v>-0.144</v>
      </c>
    </row>
    <row r="67" spans="1:7" s="100" customFormat="1" ht="12" customHeight="1">
      <c r="A67" s="41">
        <v>6</v>
      </c>
      <c r="B67" s="7" t="s">
        <v>205</v>
      </c>
      <c r="C67" s="105"/>
      <c r="D67" s="101">
        <v>30976795</v>
      </c>
      <c r="E67" s="101">
        <v>31857883</v>
      </c>
      <c r="F67" s="101">
        <v>-881088</v>
      </c>
      <c r="G67" s="102">
        <v>-0.0277</v>
      </c>
    </row>
    <row r="68" spans="1:7" ht="12.75">
      <c r="A68" s="41"/>
      <c r="B68" s="5" t="s">
        <v>615</v>
      </c>
      <c r="C68" s="38"/>
      <c r="D68" s="12">
        <v>10814231</v>
      </c>
      <c r="E68" s="12">
        <v>11603186</v>
      </c>
      <c r="F68" s="12">
        <v>-788955</v>
      </c>
      <c r="G68" s="94">
        <v>-0.068</v>
      </c>
    </row>
    <row r="69" spans="1:7" ht="12.75">
      <c r="A69" s="41"/>
      <c r="B69" s="5" t="s">
        <v>616</v>
      </c>
      <c r="C69" s="38"/>
      <c r="D69" s="12">
        <v>3351165</v>
      </c>
      <c r="E69" s="12">
        <v>3232129</v>
      </c>
      <c r="F69" s="12">
        <v>119036</v>
      </c>
      <c r="G69" s="94">
        <v>0.0368</v>
      </c>
    </row>
    <row r="70" spans="1:7" ht="12.75">
      <c r="A70" s="41"/>
      <c r="B70" s="5" t="s">
        <v>617</v>
      </c>
      <c r="C70" s="38"/>
      <c r="D70" s="12">
        <v>10029649</v>
      </c>
      <c r="E70" s="12">
        <v>10178107</v>
      </c>
      <c r="F70" s="12">
        <v>-148458</v>
      </c>
      <c r="G70" s="94">
        <v>-0.0146</v>
      </c>
    </row>
    <row r="71" spans="1:7" ht="12.75">
      <c r="A71" s="42"/>
      <c r="B71" s="5" t="s">
        <v>618</v>
      </c>
      <c r="C71" s="38"/>
      <c r="D71" s="12">
        <v>662067</v>
      </c>
      <c r="E71" s="12">
        <v>634088</v>
      </c>
      <c r="F71" s="12">
        <v>27979</v>
      </c>
      <c r="G71" s="94">
        <v>0.0441</v>
      </c>
    </row>
    <row r="72" spans="1:7" ht="12.75">
      <c r="A72" s="42"/>
      <c r="B72" s="5" t="s">
        <v>619</v>
      </c>
      <c r="C72" s="38"/>
      <c r="D72" s="12">
        <v>6119683</v>
      </c>
      <c r="E72" s="12">
        <v>6210373</v>
      </c>
      <c r="F72" s="12">
        <v>-90690</v>
      </c>
      <c r="G72" s="94">
        <v>-0.0146</v>
      </c>
    </row>
    <row r="73" spans="1:7" s="100" customFormat="1" ht="12.75">
      <c r="A73" s="41">
        <v>7</v>
      </c>
      <c r="B73" s="37" t="s">
        <v>309</v>
      </c>
      <c r="C73" s="37"/>
      <c r="D73" s="101">
        <v>1060396</v>
      </c>
      <c r="E73" s="101">
        <v>1296569</v>
      </c>
      <c r="F73" s="101">
        <v>-236173</v>
      </c>
      <c r="G73" s="102">
        <v>-0.1822</v>
      </c>
    </row>
    <row r="74" spans="1:7" s="100" customFormat="1" ht="12.75">
      <c r="A74" s="41">
        <v>8</v>
      </c>
      <c r="B74" s="37" t="s">
        <v>310</v>
      </c>
      <c r="C74" s="7"/>
      <c r="D74" s="101">
        <v>4875881</v>
      </c>
      <c r="E74" s="101">
        <v>5006444</v>
      </c>
      <c r="F74" s="101">
        <v>-130563</v>
      </c>
      <c r="G74" s="102">
        <v>-0.0261</v>
      </c>
    </row>
    <row r="75" spans="1:7" ht="12.75">
      <c r="A75" s="41"/>
      <c r="B75" s="5" t="s">
        <v>620</v>
      </c>
      <c r="C75" s="38"/>
      <c r="D75" s="12">
        <v>27034</v>
      </c>
      <c r="E75" s="12">
        <v>21207</v>
      </c>
      <c r="F75" s="12">
        <v>5827</v>
      </c>
      <c r="G75" s="94">
        <v>0.2748</v>
      </c>
    </row>
    <row r="76" spans="1:7" ht="12.75">
      <c r="A76" s="41"/>
      <c r="B76" s="5" t="s">
        <v>621</v>
      </c>
      <c r="C76" s="38"/>
      <c r="D76" s="12">
        <v>2145187</v>
      </c>
      <c r="E76" s="12">
        <v>2079445</v>
      </c>
      <c r="F76" s="12">
        <v>65742</v>
      </c>
      <c r="G76" s="94">
        <v>0.0316</v>
      </c>
    </row>
    <row r="77" spans="1:7" ht="12.75">
      <c r="A77" s="42"/>
      <c r="B77" s="5" t="s">
        <v>622</v>
      </c>
      <c r="C77" s="38"/>
      <c r="D77" s="12">
        <v>2703660</v>
      </c>
      <c r="E77" s="12">
        <v>2905792</v>
      </c>
      <c r="F77" s="12">
        <v>-202132</v>
      </c>
      <c r="G77" s="94">
        <v>-0.0696</v>
      </c>
    </row>
    <row r="78" spans="1:7" s="100" customFormat="1" ht="12.75">
      <c r="A78" s="41">
        <v>9</v>
      </c>
      <c r="B78" s="37" t="s">
        <v>311</v>
      </c>
      <c r="C78" s="7"/>
      <c r="D78" s="101">
        <v>97679</v>
      </c>
      <c r="E78" s="101">
        <v>34171</v>
      </c>
      <c r="F78" s="101">
        <v>63508</v>
      </c>
      <c r="G78" s="102">
        <v>1.8585</v>
      </c>
    </row>
    <row r="79" spans="1:7" s="100" customFormat="1" ht="12.75">
      <c r="A79" s="41">
        <v>10</v>
      </c>
      <c r="B79" s="7" t="s">
        <v>206</v>
      </c>
      <c r="C79" s="105"/>
      <c r="D79" s="101">
        <v>225809</v>
      </c>
      <c r="E79" s="101">
        <v>359124</v>
      </c>
      <c r="F79" s="101">
        <v>-133315</v>
      </c>
      <c r="G79" s="102">
        <v>-0.3712</v>
      </c>
    </row>
    <row r="80" spans="1:7" ht="12.75">
      <c r="A80" s="41"/>
      <c r="B80" s="5" t="s">
        <v>623</v>
      </c>
      <c r="C80" s="38"/>
      <c r="D80" s="12">
        <v>210109</v>
      </c>
      <c r="E80" s="12">
        <v>363645</v>
      </c>
      <c r="F80" s="12">
        <v>-153536</v>
      </c>
      <c r="G80" s="94">
        <v>-0.4222</v>
      </c>
    </row>
    <row r="81" spans="1:7" ht="12.75">
      <c r="A81" s="41"/>
      <c r="B81" s="5" t="s">
        <v>624</v>
      </c>
      <c r="C81" s="38"/>
      <c r="D81" s="12">
        <v>15700</v>
      </c>
      <c r="E81" s="12">
        <v>-4521</v>
      </c>
      <c r="F81" s="12">
        <v>20221</v>
      </c>
      <c r="G81" s="94">
        <v>-4.4727</v>
      </c>
    </row>
    <row r="82" spans="1:7" s="100" customFormat="1" ht="12.75">
      <c r="A82" s="41">
        <v>11</v>
      </c>
      <c r="B82" s="7" t="s">
        <v>312</v>
      </c>
      <c r="C82" s="105"/>
      <c r="D82" s="101">
        <v>8070890</v>
      </c>
      <c r="E82" s="101">
        <v>74375</v>
      </c>
      <c r="F82" s="101">
        <v>7996515</v>
      </c>
      <c r="G82" s="102">
        <v>107.5162</v>
      </c>
    </row>
    <row r="83" spans="1:7" ht="12.75">
      <c r="A83" s="41"/>
      <c r="B83" s="5" t="s">
        <v>313</v>
      </c>
      <c r="C83" s="8"/>
      <c r="D83" s="12">
        <v>35625</v>
      </c>
      <c r="E83" s="12">
        <v>38175</v>
      </c>
      <c r="F83" s="12">
        <v>-2550</v>
      </c>
      <c r="G83" s="94">
        <v>-0.0668</v>
      </c>
    </row>
    <row r="84" spans="1:7" ht="12.75">
      <c r="A84" s="41"/>
      <c r="B84" s="5" t="s">
        <v>314</v>
      </c>
      <c r="C84" s="14"/>
      <c r="D84" s="12">
        <v>0</v>
      </c>
      <c r="E84" s="12">
        <v>0</v>
      </c>
      <c r="F84" s="12">
        <v>0</v>
      </c>
      <c r="G84" s="94" t="s">
        <v>672</v>
      </c>
    </row>
    <row r="85" spans="1:7" ht="12.75">
      <c r="A85" s="41"/>
      <c r="B85" s="5" t="s">
        <v>316</v>
      </c>
      <c r="C85" s="14"/>
      <c r="D85" s="12">
        <v>8035265</v>
      </c>
      <c r="E85" s="12">
        <v>0</v>
      </c>
      <c r="F85" s="12">
        <v>8035265</v>
      </c>
      <c r="G85" s="94" t="s">
        <v>672</v>
      </c>
    </row>
    <row r="86" spans="1:7" ht="12.75">
      <c r="A86" s="41"/>
      <c r="B86" s="5" t="s">
        <v>315</v>
      </c>
      <c r="C86" s="14"/>
      <c r="D86" s="12">
        <v>0</v>
      </c>
      <c r="E86" s="12">
        <v>36200</v>
      </c>
      <c r="F86" s="12">
        <v>-36200</v>
      </c>
      <c r="G86" s="94">
        <v>-1</v>
      </c>
    </row>
    <row r="87" spans="1:7" s="100" customFormat="1" ht="12.75">
      <c r="A87" s="394" t="s">
        <v>317</v>
      </c>
      <c r="B87" s="395"/>
      <c r="C87" s="395"/>
      <c r="D87" s="103">
        <v>93326988</v>
      </c>
      <c r="E87" s="103">
        <v>84048500</v>
      </c>
      <c r="F87" s="103">
        <v>9278488</v>
      </c>
      <c r="G87" s="104">
        <v>0.1104</v>
      </c>
    </row>
    <row r="88" spans="1:7" s="100" customFormat="1" ht="13.5" thickBot="1">
      <c r="A88" s="41"/>
      <c r="B88" s="28"/>
      <c r="C88" s="7"/>
      <c r="D88" s="101"/>
      <c r="E88" s="101"/>
      <c r="F88" s="101"/>
      <c r="G88" s="102"/>
    </row>
    <row r="89" spans="1:7" s="100" customFormat="1" ht="13.5" thickBot="1">
      <c r="A89" s="392" t="s">
        <v>318</v>
      </c>
      <c r="B89" s="393"/>
      <c r="C89" s="393"/>
      <c r="D89" s="106">
        <v>10507100</v>
      </c>
      <c r="E89" s="106">
        <v>6922192</v>
      </c>
      <c r="F89" s="106">
        <v>3584908</v>
      </c>
      <c r="G89" s="107">
        <v>0.5179</v>
      </c>
    </row>
    <row r="90" spans="1:7" ht="12.75">
      <c r="A90" s="42"/>
      <c r="B90" s="3"/>
      <c r="C90" s="8"/>
      <c r="D90" s="12"/>
      <c r="E90" s="12"/>
      <c r="F90" s="12"/>
      <c r="G90" s="94"/>
    </row>
    <row r="91" spans="1:7" s="100" customFormat="1" ht="12.75">
      <c r="A91" s="41" t="s">
        <v>207</v>
      </c>
      <c r="B91" s="7" t="s">
        <v>208</v>
      </c>
      <c r="C91" s="105"/>
      <c r="D91" s="101"/>
      <c r="E91" s="101"/>
      <c r="F91" s="101"/>
      <c r="G91" s="102"/>
    </row>
    <row r="92" spans="1:7" s="100" customFormat="1" ht="12.75">
      <c r="A92" s="108"/>
      <c r="B92" s="28" t="s">
        <v>326</v>
      </c>
      <c r="C92" s="26" t="s">
        <v>319</v>
      </c>
      <c r="D92" s="101">
        <v>145</v>
      </c>
      <c r="E92" s="101">
        <v>147</v>
      </c>
      <c r="F92" s="101">
        <v>-2</v>
      </c>
      <c r="G92" s="102">
        <v>-0.0136</v>
      </c>
    </row>
    <row r="93" spans="1:7" s="100" customFormat="1" ht="12.75">
      <c r="A93" s="108"/>
      <c r="B93" s="28" t="s">
        <v>327</v>
      </c>
      <c r="C93" s="26" t="s">
        <v>320</v>
      </c>
      <c r="D93" s="101">
        <v>327053</v>
      </c>
      <c r="E93" s="101">
        <v>349928</v>
      </c>
      <c r="F93" s="101">
        <v>-22875</v>
      </c>
      <c r="G93" s="102">
        <v>-0.0654</v>
      </c>
    </row>
    <row r="94" spans="1:7" s="100" customFormat="1" ht="12.75">
      <c r="A94" s="394" t="s">
        <v>321</v>
      </c>
      <c r="B94" s="395"/>
      <c r="C94" s="395" t="s">
        <v>209</v>
      </c>
      <c r="D94" s="103">
        <v>-326908</v>
      </c>
      <c r="E94" s="103">
        <v>-349781</v>
      </c>
      <c r="F94" s="103">
        <v>22873</v>
      </c>
      <c r="G94" s="104">
        <v>-0.0654</v>
      </c>
    </row>
    <row r="95" spans="1:7" s="100" customFormat="1" ht="12.75">
      <c r="A95" s="108"/>
      <c r="B95" s="109"/>
      <c r="C95" s="7"/>
      <c r="D95" s="101"/>
      <c r="E95" s="101"/>
      <c r="F95" s="101"/>
      <c r="G95" s="102"/>
    </row>
    <row r="96" spans="1:7" s="100" customFormat="1" ht="12.75">
      <c r="A96" s="41" t="s">
        <v>210</v>
      </c>
      <c r="B96" s="7" t="s">
        <v>211</v>
      </c>
      <c r="C96" s="7"/>
      <c r="D96" s="101"/>
      <c r="E96" s="101"/>
      <c r="F96" s="101"/>
      <c r="G96" s="102"/>
    </row>
    <row r="97" spans="1:7" s="100" customFormat="1" ht="12.75">
      <c r="A97" s="108"/>
      <c r="B97" s="28" t="s">
        <v>326</v>
      </c>
      <c r="C97" s="7" t="s">
        <v>250</v>
      </c>
      <c r="D97" s="101">
        <v>0</v>
      </c>
      <c r="E97" s="101">
        <v>0</v>
      </c>
      <c r="F97" s="101">
        <v>0</v>
      </c>
      <c r="G97" s="102" t="s">
        <v>672</v>
      </c>
    </row>
    <row r="98" spans="1:7" s="100" customFormat="1" ht="12.75">
      <c r="A98" s="108"/>
      <c r="B98" s="28" t="s">
        <v>327</v>
      </c>
      <c r="C98" s="7" t="s">
        <v>251</v>
      </c>
      <c r="D98" s="101">
        <v>0</v>
      </c>
      <c r="E98" s="101">
        <v>0</v>
      </c>
      <c r="F98" s="101">
        <v>0</v>
      </c>
      <c r="G98" s="102" t="s">
        <v>672</v>
      </c>
    </row>
    <row r="99" spans="1:7" s="100" customFormat="1" ht="12.75">
      <c r="A99" s="394" t="s">
        <v>322</v>
      </c>
      <c r="B99" s="395"/>
      <c r="C99" s="395" t="s">
        <v>209</v>
      </c>
      <c r="D99" s="103">
        <v>0</v>
      </c>
      <c r="E99" s="103">
        <v>0</v>
      </c>
      <c r="F99" s="103">
        <v>0</v>
      </c>
      <c r="G99" s="104" t="s">
        <v>672</v>
      </c>
    </row>
    <row r="100" spans="1:7" s="100" customFormat="1" ht="12.75">
      <c r="A100" s="108"/>
      <c r="B100" s="109"/>
      <c r="C100" s="7"/>
      <c r="D100" s="101"/>
      <c r="E100" s="101"/>
      <c r="F100" s="101"/>
      <c r="G100" s="102"/>
    </row>
    <row r="101" spans="1:7" s="100" customFormat="1" ht="12.75">
      <c r="A101" s="43" t="s">
        <v>212</v>
      </c>
      <c r="B101" s="7" t="s">
        <v>213</v>
      </c>
      <c r="C101" s="105"/>
      <c r="D101" s="101"/>
      <c r="E101" s="101"/>
      <c r="F101" s="101"/>
      <c r="G101" s="102"/>
    </row>
    <row r="102" spans="1:7" s="100" customFormat="1" ht="12.75">
      <c r="A102" s="43"/>
      <c r="B102" s="30">
        <v>1</v>
      </c>
      <c r="C102" s="26" t="s">
        <v>253</v>
      </c>
      <c r="D102" s="101">
        <v>5737562</v>
      </c>
      <c r="E102" s="101">
        <v>1520129</v>
      </c>
      <c r="F102" s="101">
        <v>4217433</v>
      </c>
      <c r="G102" s="102">
        <v>2.7744</v>
      </c>
    </row>
    <row r="103" spans="1:7" ht="12.75">
      <c r="A103" s="43"/>
      <c r="B103" s="30"/>
      <c r="C103" s="5" t="s">
        <v>625</v>
      </c>
      <c r="D103" s="12">
        <v>3000</v>
      </c>
      <c r="E103" s="12">
        <v>0</v>
      </c>
      <c r="F103" s="12">
        <v>3000</v>
      </c>
      <c r="G103" s="94" t="s">
        <v>672</v>
      </c>
    </row>
    <row r="104" spans="1:8" ht="12.75">
      <c r="A104" s="43"/>
      <c r="B104" s="30"/>
      <c r="C104" s="32" t="s">
        <v>626</v>
      </c>
      <c r="D104" s="12">
        <v>5734562</v>
      </c>
      <c r="E104" s="12">
        <v>1520129</v>
      </c>
      <c r="F104" s="12">
        <v>4214433</v>
      </c>
      <c r="G104" s="94">
        <v>2.7724</v>
      </c>
      <c r="H104" s="289"/>
    </row>
    <row r="105" spans="1:7" ht="12.75">
      <c r="A105" s="43"/>
      <c r="B105" s="30">
        <v>2</v>
      </c>
      <c r="C105" s="37" t="s">
        <v>252</v>
      </c>
      <c r="D105" s="101">
        <v>50812</v>
      </c>
      <c r="E105" s="101">
        <v>157581</v>
      </c>
      <c r="F105" s="12">
        <v>-106769</v>
      </c>
      <c r="G105" s="94">
        <v>-0.6775</v>
      </c>
    </row>
    <row r="106" spans="1:7" ht="12.75">
      <c r="A106" s="43"/>
      <c r="B106" s="30"/>
      <c r="C106" s="32" t="s">
        <v>627</v>
      </c>
      <c r="D106" s="13">
        <v>0</v>
      </c>
      <c r="E106" s="13">
        <v>2412</v>
      </c>
      <c r="F106" s="13">
        <v>-2412</v>
      </c>
      <c r="G106" s="95">
        <v>-1</v>
      </c>
    </row>
    <row r="107" spans="1:7" ht="12.75">
      <c r="A107" s="43"/>
      <c r="B107" s="30"/>
      <c r="C107" s="5" t="s">
        <v>628</v>
      </c>
      <c r="D107" s="13">
        <v>50812</v>
      </c>
      <c r="E107" s="13">
        <v>155169</v>
      </c>
      <c r="F107" s="13">
        <v>-104357</v>
      </c>
      <c r="G107" s="95">
        <v>-0.6725</v>
      </c>
    </row>
    <row r="108" spans="1:7" s="100" customFormat="1" ht="12.75">
      <c r="A108" s="394" t="s">
        <v>323</v>
      </c>
      <c r="B108" s="395"/>
      <c r="C108" s="395" t="s">
        <v>214</v>
      </c>
      <c r="D108" s="103">
        <v>5686750</v>
      </c>
      <c r="E108" s="103">
        <v>1362548</v>
      </c>
      <c r="F108" s="103">
        <v>4324202</v>
      </c>
      <c r="G108" s="104">
        <v>3.1736</v>
      </c>
    </row>
    <row r="109" spans="1:7" s="100" customFormat="1" ht="13.5" thickBot="1">
      <c r="A109" s="110"/>
      <c r="B109" s="25"/>
      <c r="C109" s="26"/>
      <c r="D109" s="111"/>
      <c r="E109" s="111"/>
      <c r="F109" s="111"/>
      <c r="G109" s="112"/>
    </row>
    <row r="110" spans="1:7" s="100" customFormat="1" ht="13.5" thickBot="1">
      <c r="A110" s="392" t="s">
        <v>215</v>
      </c>
      <c r="B110" s="393"/>
      <c r="C110" s="393"/>
      <c r="D110" s="106">
        <v>15866942</v>
      </c>
      <c r="E110" s="106">
        <v>7934959</v>
      </c>
      <c r="F110" s="106">
        <v>7931983</v>
      </c>
      <c r="G110" s="107">
        <v>0.9996</v>
      </c>
    </row>
    <row r="111" spans="1:7" ht="12.75">
      <c r="A111" s="44"/>
      <c r="B111" s="23"/>
      <c r="C111" s="10"/>
      <c r="D111" s="13"/>
      <c r="E111" s="13"/>
      <c r="F111" s="13"/>
      <c r="G111" s="95"/>
    </row>
    <row r="112" spans="1:7" s="100" customFormat="1" ht="12.75">
      <c r="A112" s="43" t="s">
        <v>324</v>
      </c>
      <c r="B112" s="7" t="s">
        <v>325</v>
      </c>
      <c r="C112" s="105"/>
      <c r="D112" s="101"/>
      <c r="E112" s="101"/>
      <c r="F112" s="101"/>
      <c r="G112" s="102"/>
    </row>
    <row r="113" spans="1:7" s="100" customFormat="1" ht="12.75">
      <c r="A113" s="43"/>
      <c r="B113" s="30" t="s">
        <v>326</v>
      </c>
      <c r="C113" s="26" t="s">
        <v>218</v>
      </c>
      <c r="D113" s="101">
        <v>2455761</v>
      </c>
      <c r="E113" s="101">
        <v>2259930</v>
      </c>
      <c r="F113" s="101">
        <v>195831</v>
      </c>
      <c r="G113" s="102">
        <v>0.0867</v>
      </c>
    </row>
    <row r="114" spans="1:7" ht="12.75">
      <c r="A114" s="42"/>
      <c r="B114" s="32"/>
      <c r="C114" s="32" t="s">
        <v>629</v>
      </c>
      <c r="D114" s="12">
        <v>2039771</v>
      </c>
      <c r="E114" s="12">
        <v>1883212</v>
      </c>
      <c r="F114" s="12">
        <v>156559</v>
      </c>
      <c r="G114" s="94">
        <v>0.0831</v>
      </c>
    </row>
    <row r="115" spans="1:7" ht="12.75">
      <c r="A115" s="42"/>
      <c r="B115" s="32"/>
      <c r="C115" s="5" t="s">
        <v>630</v>
      </c>
      <c r="D115" s="12">
        <v>314971</v>
      </c>
      <c r="E115" s="12">
        <v>269157</v>
      </c>
      <c r="F115" s="12">
        <v>45814</v>
      </c>
      <c r="G115" s="94">
        <v>0.1702</v>
      </c>
    </row>
    <row r="116" spans="1:7" ht="12.75">
      <c r="A116" s="42"/>
      <c r="B116" s="32"/>
      <c r="C116" s="5" t="s">
        <v>631</v>
      </c>
      <c r="D116" s="12">
        <v>101019</v>
      </c>
      <c r="E116" s="12">
        <v>107561</v>
      </c>
      <c r="F116" s="12">
        <v>-6542</v>
      </c>
      <c r="G116" s="94">
        <v>-0.0608</v>
      </c>
    </row>
    <row r="117" spans="1:7" ht="12.75">
      <c r="A117" s="42"/>
      <c r="B117" s="32"/>
      <c r="C117" s="5" t="s">
        <v>632</v>
      </c>
      <c r="D117" s="12">
        <v>0</v>
      </c>
      <c r="E117" s="12">
        <v>0</v>
      </c>
      <c r="F117" s="12">
        <v>0</v>
      </c>
      <c r="G117" s="94" t="s">
        <v>672</v>
      </c>
    </row>
    <row r="118" spans="1:7" s="100" customFormat="1" ht="12.75">
      <c r="A118" s="43"/>
      <c r="B118" s="30" t="s">
        <v>327</v>
      </c>
      <c r="C118" s="37" t="s">
        <v>254</v>
      </c>
      <c r="D118" s="101">
        <v>59378</v>
      </c>
      <c r="E118" s="101">
        <v>58502</v>
      </c>
      <c r="F118" s="101">
        <v>876</v>
      </c>
      <c r="G118" s="102">
        <v>0.015</v>
      </c>
    </row>
    <row r="119" spans="1:7" s="100" customFormat="1" ht="12.75">
      <c r="A119" s="43"/>
      <c r="B119" s="30" t="s">
        <v>328</v>
      </c>
      <c r="C119" s="39" t="s">
        <v>329</v>
      </c>
      <c r="D119" s="111">
        <v>0</v>
      </c>
      <c r="E119" s="111">
        <v>0</v>
      </c>
      <c r="F119" s="111">
        <v>0</v>
      </c>
      <c r="G119" s="112" t="s">
        <v>672</v>
      </c>
    </row>
    <row r="120" spans="1:7" s="100" customFormat="1" ht="12.75">
      <c r="A120" s="394" t="s">
        <v>0</v>
      </c>
      <c r="B120" s="395"/>
      <c r="C120" s="395" t="s">
        <v>214</v>
      </c>
      <c r="D120" s="103">
        <v>2515139</v>
      </c>
      <c r="E120" s="103">
        <v>2318432</v>
      </c>
      <c r="F120" s="103">
        <v>196707</v>
      </c>
      <c r="G120" s="104">
        <v>0.0848</v>
      </c>
    </row>
    <row r="121" spans="1:7" ht="12.75">
      <c r="A121" s="42"/>
      <c r="B121" s="3"/>
      <c r="C121" s="8"/>
      <c r="D121" s="16"/>
      <c r="E121" s="16"/>
      <c r="F121" s="16"/>
      <c r="G121" s="96"/>
    </row>
    <row r="122" spans="1:7" ht="13.5" thickBot="1">
      <c r="A122" s="45" t="s">
        <v>216</v>
      </c>
      <c r="B122" s="46"/>
      <c r="C122" s="47"/>
      <c r="D122" s="48">
        <v>13351803</v>
      </c>
      <c r="E122" s="48">
        <v>5616527</v>
      </c>
      <c r="F122" s="48">
        <v>7735276</v>
      </c>
      <c r="G122" s="97">
        <v>1.3772</v>
      </c>
    </row>
    <row r="123" ht="12.75">
      <c r="C123" s="1"/>
    </row>
    <row r="124" ht="12.75">
      <c r="E124" s="348"/>
    </row>
    <row r="125" ht="12.75">
      <c r="E125" s="348"/>
    </row>
    <row r="126" ht="12.75">
      <c r="E126" s="348"/>
    </row>
  </sheetData>
  <sheetProtection/>
  <mergeCells count="14">
    <mergeCell ref="A110:C110"/>
    <mergeCell ref="A120:C120"/>
    <mergeCell ref="A37:C37"/>
    <mergeCell ref="A87:C87"/>
    <mergeCell ref="A89:C89"/>
    <mergeCell ref="A94:C94"/>
    <mergeCell ref="A99:C99"/>
    <mergeCell ref="A108:C108"/>
    <mergeCell ref="A4:E4"/>
    <mergeCell ref="F4:G4"/>
    <mergeCell ref="F6:G6"/>
    <mergeCell ref="A6:C7"/>
    <mergeCell ref="D6:D7"/>
    <mergeCell ref="E6:E7"/>
  </mergeCells>
  <printOptions horizontalCentered="1"/>
  <pageMargins left="0.5118110236220472" right="0.2755905511811024" top="0.984251968503937" bottom="0.5511811023622047" header="0.5118110236220472" footer="0.5118110236220472"/>
  <pageSetup fitToHeight="3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01"/>
  <sheetViews>
    <sheetView showGridLines="0" zoomScaleSheetLayoutView="100" zoomScalePageLayoutView="0" workbookViewId="0" topLeftCell="A1">
      <pane ySplit="3" topLeftCell="A4" activePane="bottomLeft" state="frozen"/>
      <selection pane="topLeft" activeCell="J226" sqref="J226"/>
      <selection pane="bottomLeft" activeCell="J255" sqref="A1:J255"/>
    </sheetView>
  </sheetViews>
  <sheetFormatPr defaultColWidth="17.8515625" defaultRowHeight="12.75"/>
  <cols>
    <col min="1" max="1" width="4.57421875" style="67" bestFit="1" customWidth="1"/>
    <col min="2" max="2" width="5.140625" style="67" bestFit="1" customWidth="1"/>
    <col min="3" max="3" width="4.7109375" style="67" bestFit="1" customWidth="1"/>
    <col min="4" max="5" width="4.421875" style="67" bestFit="1" customWidth="1"/>
    <col min="6" max="6" width="3.28125" style="67" bestFit="1" customWidth="1"/>
    <col min="7" max="7" width="72.140625" style="144" customWidth="1"/>
    <col min="8" max="8" width="13.7109375" style="344" customWidth="1"/>
    <col min="9" max="9" width="15.28125" style="344" customWidth="1"/>
    <col min="10" max="10" width="15.140625" style="148" customWidth="1"/>
    <col min="11" max="11" width="10.421875" style="148" customWidth="1"/>
    <col min="12" max="12" width="13.8515625" style="276" customWidth="1"/>
    <col min="13" max="13" width="13.8515625" style="293" customWidth="1"/>
    <col min="14" max="14" width="13.7109375" style="275" customWidth="1"/>
    <col min="15" max="16" width="13.8515625" style="276" customWidth="1"/>
    <col min="17" max="17" width="13.7109375" style="344" customWidth="1"/>
    <col min="18" max="18" width="13.8515625" style="276" customWidth="1"/>
    <col min="19" max="19" width="10.28125" style="52" customWidth="1"/>
    <col min="20" max="20" width="15.28125" style="275" customWidth="1"/>
    <col min="21" max="216" width="10.28125" style="52" customWidth="1"/>
    <col min="217" max="225" width="9.140625" style="52" customWidth="1"/>
    <col min="226" max="226" width="0.9921875" style="52" customWidth="1"/>
    <col min="227" max="230" width="3.28125" style="52" customWidth="1"/>
    <col min="231" max="231" width="1.8515625" style="52" customWidth="1"/>
    <col min="232" max="16384" width="17.8515625" style="52" customWidth="1"/>
  </cols>
  <sheetData>
    <row r="1" spans="1:20" s="53" customFormat="1" ht="13.5" thickBot="1">
      <c r="A1" s="80"/>
      <c r="B1" s="80"/>
      <c r="C1" s="80"/>
      <c r="D1" s="80"/>
      <c r="E1" s="80"/>
      <c r="F1" s="80"/>
      <c r="G1" s="145"/>
      <c r="H1" s="346"/>
      <c r="I1" s="346"/>
      <c r="J1" s="69"/>
      <c r="K1" s="69"/>
      <c r="L1" s="276"/>
      <c r="M1" s="293"/>
      <c r="N1" s="269"/>
      <c r="O1" s="276"/>
      <c r="P1" s="276"/>
      <c r="Q1" s="330" t="s">
        <v>670</v>
      </c>
      <c r="R1" s="276"/>
      <c r="T1" s="274" t="s">
        <v>650</v>
      </c>
    </row>
    <row r="2" spans="1:20" s="70" customFormat="1" ht="13.5" customHeight="1" thickBot="1">
      <c r="A2" s="404" t="s">
        <v>633</v>
      </c>
      <c r="B2" s="405"/>
      <c r="C2" s="405"/>
      <c r="D2" s="405"/>
      <c r="E2" s="405"/>
      <c r="F2" s="406"/>
      <c r="G2" s="407" t="s">
        <v>634</v>
      </c>
      <c r="H2" s="409" t="s">
        <v>647</v>
      </c>
      <c r="I2" s="409" t="s">
        <v>648</v>
      </c>
      <c r="J2" s="407" t="s">
        <v>635</v>
      </c>
      <c r="K2" s="294"/>
      <c r="L2" s="407" t="s">
        <v>666</v>
      </c>
      <c r="M2" s="407" t="s">
        <v>667</v>
      </c>
      <c r="N2" s="407" t="s">
        <v>647</v>
      </c>
      <c r="O2" s="407" t="s">
        <v>665</v>
      </c>
      <c r="P2" s="407" t="s">
        <v>668</v>
      </c>
      <c r="Q2" s="409" t="s">
        <v>671</v>
      </c>
      <c r="R2" s="294"/>
      <c r="T2" s="407" t="s">
        <v>648</v>
      </c>
    </row>
    <row r="3" spans="1:20" ht="15" customHeight="1" thickBot="1">
      <c r="A3" s="266" t="s">
        <v>637</v>
      </c>
      <c r="B3" s="266" t="s">
        <v>638</v>
      </c>
      <c r="C3" s="266" t="s">
        <v>642</v>
      </c>
      <c r="D3" s="266" t="s">
        <v>639</v>
      </c>
      <c r="E3" s="266" t="s">
        <v>643</v>
      </c>
      <c r="F3" s="267" t="s">
        <v>640</v>
      </c>
      <c r="G3" s="408"/>
      <c r="H3" s="410"/>
      <c r="I3" s="410"/>
      <c r="J3" s="408"/>
      <c r="K3" s="294"/>
      <c r="L3" s="408"/>
      <c r="M3" s="408"/>
      <c r="N3" s="408"/>
      <c r="O3" s="408"/>
      <c r="P3" s="408"/>
      <c r="Q3" s="410"/>
      <c r="R3" s="294"/>
      <c r="T3" s="408"/>
    </row>
    <row r="4" spans="1:20" s="50" customFormat="1" ht="15">
      <c r="A4" s="71">
        <v>600</v>
      </c>
      <c r="B4" s="72">
        <v>0</v>
      </c>
      <c r="C4" s="72">
        <v>0</v>
      </c>
      <c r="D4" s="72">
        <v>0</v>
      </c>
      <c r="E4" s="72">
        <v>0</v>
      </c>
      <c r="F4" s="72">
        <v>0</v>
      </c>
      <c r="G4" s="140" t="s">
        <v>375</v>
      </c>
      <c r="H4" s="331"/>
      <c r="I4" s="331"/>
      <c r="J4" s="141"/>
      <c r="K4" s="295"/>
      <c r="L4" s="273"/>
      <c r="M4" s="281"/>
      <c r="N4" s="270"/>
      <c r="O4" s="273"/>
      <c r="P4" s="273"/>
      <c r="Q4" s="331"/>
      <c r="R4" s="292"/>
      <c r="T4" s="270"/>
    </row>
    <row r="5" spans="1:20" ht="15">
      <c r="A5" s="75">
        <v>600</v>
      </c>
      <c r="B5" s="73">
        <v>100</v>
      </c>
      <c r="C5" s="73"/>
      <c r="D5" s="73"/>
      <c r="E5" s="73"/>
      <c r="F5" s="73"/>
      <c r="G5" s="66" t="s">
        <v>376</v>
      </c>
      <c r="H5" s="332"/>
      <c r="I5" s="332"/>
      <c r="J5" s="147"/>
      <c r="K5" s="296"/>
      <c r="L5" s="272"/>
      <c r="M5" s="149"/>
      <c r="N5" s="271"/>
      <c r="O5" s="272"/>
      <c r="P5" s="272"/>
      <c r="Q5" s="332"/>
      <c r="R5" s="292"/>
      <c r="T5" s="271"/>
    </row>
    <row r="6" spans="1:20" ht="15">
      <c r="A6" s="75">
        <v>600</v>
      </c>
      <c r="B6" s="73">
        <v>100</v>
      </c>
      <c r="C6" s="73">
        <v>100</v>
      </c>
      <c r="D6" s="73"/>
      <c r="E6" s="73"/>
      <c r="F6" s="73"/>
      <c r="G6" s="66" t="s">
        <v>377</v>
      </c>
      <c r="H6" s="332"/>
      <c r="I6" s="332"/>
      <c r="J6" s="147" t="s">
        <v>1</v>
      </c>
      <c r="K6" s="296"/>
      <c r="L6" s="272"/>
      <c r="M6" s="149"/>
      <c r="N6" s="271"/>
      <c r="O6" s="272"/>
      <c r="P6" s="272"/>
      <c r="Q6" s="332"/>
      <c r="R6" s="292"/>
      <c r="T6" s="271"/>
    </row>
    <row r="7" spans="1:20" ht="15">
      <c r="A7" s="75">
        <v>600</v>
      </c>
      <c r="B7" s="73">
        <v>100</v>
      </c>
      <c r="C7" s="73">
        <v>100</v>
      </c>
      <c r="D7" s="77">
        <v>100</v>
      </c>
      <c r="E7" s="77"/>
      <c r="F7" s="77"/>
      <c r="G7" s="65" t="s">
        <v>378</v>
      </c>
      <c r="H7" s="333">
        <v>0</v>
      </c>
      <c r="I7" s="333">
        <v>0</v>
      </c>
      <c r="J7" s="51"/>
      <c r="K7" s="64"/>
      <c r="L7" s="278">
        <f>H7-I7</f>
        <v>0</v>
      </c>
      <c r="M7" s="291" t="e">
        <f>L7/I7</f>
        <v>#DIV/0!</v>
      </c>
      <c r="N7" s="279">
        <v>0</v>
      </c>
      <c r="O7" s="278">
        <f>H7-N7</f>
        <v>0</v>
      </c>
      <c r="P7" s="291" t="e">
        <f>O7/N7</f>
        <v>#DIV/0!</v>
      </c>
      <c r="Q7" s="333">
        <v>0</v>
      </c>
      <c r="R7" s="333">
        <f>H7-Q7</f>
        <v>0</v>
      </c>
      <c r="T7" s="279">
        <v>0</v>
      </c>
    </row>
    <row r="8" spans="1:20" ht="15">
      <c r="A8" s="75">
        <v>600</v>
      </c>
      <c r="B8" s="73">
        <v>100</v>
      </c>
      <c r="C8" s="73">
        <v>100</v>
      </c>
      <c r="D8" s="77">
        <v>200</v>
      </c>
      <c r="E8" s="77"/>
      <c r="F8" s="77"/>
      <c r="G8" s="65" t="s">
        <v>379</v>
      </c>
      <c r="H8" s="333">
        <v>11509757</v>
      </c>
      <c r="I8" s="333">
        <v>11465844</v>
      </c>
      <c r="J8" s="51"/>
      <c r="K8" s="64"/>
      <c r="L8" s="278">
        <f aca="true" t="shared" si="0" ref="L8:L54">H8-I8</f>
        <v>43913</v>
      </c>
      <c r="M8" s="291">
        <f>L8/I8</f>
        <v>0.0038</v>
      </c>
      <c r="N8" s="279">
        <f>11342186+9297000</f>
        <v>20639186</v>
      </c>
      <c r="O8" s="278">
        <f>H8-N8</f>
        <v>-9129429</v>
      </c>
      <c r="P8" s="291">
        <f aca="true" t="shared" si="1" ref="P8:P54">O8/N8</f>
        <v>-0.4423</v>
      </c>
      <c r="Q8" s="333">
        <v>20806757</v>
      </c>
      <c r="R8" s="333">
        <f>H8-Q8</f>
        <v>-9297000</v>
      </c>
      <c r="T8" s="279">
        <v>11465844</v>
      </c>
    </row>
    <row r="9" spans="1:20" ht="15">
      <c r="A9" s="75">
        <v>600</v>
      </c>
      <c r="B9" s="73">
        <v>100</v>
      </c>
      <c r="C9" s="73">
        <v>100</v>
      </c>
      <c r="D9" s="77">
        <v>300</v>
      </c>
      <c r="E9" s="77"/>
      <c r="F9" s="77"/>
      <c r="G9" s="65" t="s">
        <v>380</v>
      </c>
      <c r="H9" s="333">
        <v>0</v>
      </c>
      <c r="I9" s="333">
        <v>0</v>
      </c>
      <c r="J9" s="51"/>
      <c r="K9" s="64"/>
      <c r="L9" s="278">
        <f t="shared" si="0"/>
        <v>0</v>
      </c>
      <c r="M9" s="291" t="e">
        <f>L9/I9</f>
        <v>#DIV/0!</v>
      </c>
      <c r="N9" s="279">
        <v>0</v>
      </c>
      <c r="O9" s="278">
        <f>H9-N9</f>
        <v>0</v>
      </c>
      <c r="P9" s="291" t="e">
        <f t="shared" si="1"/>
        <v>#DIV/0!</v>
      </c>
      <c r="Q9" s="333">
        <v>0</v>
      </c>
      <c r="R9" s="333">
        <f>H9-Q9</f>
        <v>0</v>
      </c>
      <c r="T9" s="279">
        <v>0</v>
      </c>
    </row>
    <row r="10" spans="1:20" ht="15">
      <c r="A10" s="75">
        <v>600</v>
      </c>
      <c r="B10" s="73">
        <v>100</v>
      </c>
      <c r="C10" s="73">
        <v>200</v>
      </c>
      <c r="D10" s="73"/>
      <c r="E10" s="73"/>
      <c r="F10" s="73"/>
      <c r="G10" s="66" t="s">
        <v>381</v>
      </c>
      <c r="H10" s="337"/>
      <c r="I10" s="337"/>
      <c r="J10" s="147" t="s">
        <v>2</v>
      </c>
      <c r="K10" s="296"/>
      <c r="L10" s="272"/>
      <c r="M10" s="149"/>
      <c r="N10" s="272"/>
      <c r="O10" s="272"/>
      <c r="P10" s="272"/>
      <c r="Q10" s="334"/>
      <c r="R10" s="292"/>
      <c r="T10" s="149"/>
    </row>
    <row r="11" spans="1:20" ht="15">
      <c r="A11" s="75">
        <v>600</v>
      </c>
      <c r="B11" s="73">
        <v>100</v>
      </c>
      <c r="C11" s="73">
        <v>200</v>
      </c>
      <c r="D11" s="77">
        <v>100</v>
      </c>
      <c r="E11" s="77"/>
      <c r="F11" s="77"/>
      <c r="G11" s="65" t="s">
        <v>382</v>
      </c>
      <c r="H11" s="333">
        <v>0</v>
      </c>
      <c r="I11" s="333">
        <v>0</v>
      </c>
      <c r="J11" s="51"/>
      <c r="K11" s="64"/>
      <c r="L11" s="278">
        <f t="shared" si="0"/>
        <v>0</v>
      </c>
      <c r="M11" s="291" t="e">
        <f>L11/I11</f>
        <v>#DIV/0!</v>
      </c>
      <c r="N11" s="279">
        <v>0</v>
      </c>
      <c r="O11" s="278">
        <f>H11-N11</f>
        <v>0</v>
      </c>
      <c r="P11" s="291" t="e">
        <f t="shared" si="1"/>
        <v>#DIV/0!</v>
      </c>
      <c r="Q11" s="333">
        <v>0</v>
      </c>
      <c r="R11" s="333">
        <f>H11-Q11</f>
        <v>0</v>
      </c>
      <c r="T11" s="279">
        <v>0</v>
      </c>
    </row>
    <row r="12" spans="1:20" ht="15">
      <c r="A12" s="75">
        <v>600</v>
      </c>
      <c r="B12" s="73">
        <v>100</v>
      </c>
      <c r="C12" s="73">
        <v>200</v>
      </c>
      <c r="D12" s="77">
        <v>200</v>
      </c>
      <c r="E12" s="77"/>
      <c r="F12" s="77"/>
      <c r="G12" s="65" t="s">
        <v>383</v>
      </c>
      <c r="H12" s="333">
        <v>90924</v>
      </c>
      <c r="I12" s="333">
        <v>35289</v>
      </c>
      <c r="J12" s="51"/>
      <c r="K12" s="64"/>
      <c r="L12" s="278">
        <f t="shared" si="0"/>
        <v>55635</v>
      </c>
      <c r="M12" s="291">
        <f>L12/I12</f>
        <v>1.5766</v>
      </c>
      <c r="N12" s="279">
        <f>31489+55739</f>
        <v>87228</v>
      </c>
      <c r="O12" s="278">
        <f>H12-N12</f>
        <v>3696</v>
      </c>
      <c r="P12" s="291">
        <f t="shared" si="1"/>
        <v>0.0424</v>
      </c>
      <c r="Q12" s="333">
        <v>88257</v>
      </c>
      <c r="R12" s="333">
        <f>H12-Q12</f>
        <v>2667</v>
      </c>
      <c r="T12" s="279">
        <v>35289</v>
      </c>
    </row>
    <row r="13" spans="1:20" ht="15">
      <c r="A13" s="75">
        <v>600</v>
      </c>
      <c r="B13" s="73">
        <v>100</v>
      </c>
      <c r="C13" s="73">
        <v>200</v>
      </c>
      <c r="D13" s="77">
        <v>300</v>
      </c>
      <c r="E13" s="77"/>
      <c r="F13" s="77"/>
      <c r="G13" s="65" t="s">
        <v>384</v>
      </c>
      <c r="H13" s="333">
        <v>9297000</v>
      </c>
      <c r="I13" s="333">
        <v>0</v>
      </c>
      <c r="J13" s="51"/>
      <c r="K13" s="64"/>
      <c r="L13" s="278">
        <f t="shared" si="0"/>
        <v>9297000</v>
      </c>
      <c r="M13" s="291" t="e">
        <f>L13/I13</f>
        <v>#DIV/0!</v>
      </c>
      <c r="N13" s="279">
        <v>0</v>
      </c>
      <c r="O13" s="278">
        <f>H13-N13</f>
        <v>9297000</v>
      </c>
      <c r="P13" s="291" t="e">
        <f t="shared" si="1"/>
        <v>#DIV/0!</v>
      </c>
      <c r="Q13" s="333">
        <v>0</v>
      </c>
      <c r="R13" s="333">
        <f>H13-Q13</f>
        <v>9297000</v>
      </c>
      <c r="T13" s="279">
        <v>0</v>
      </c>
    </row>
    <row r="14" spans="1:20" ht="15">
      <c r="A14" s="75">
        <v>600</v>
      </c>
      <c r="B14" s="73">
        <v>200</v>
      </c>
      <c r="C14" s="73"/>
      <c r="D14" s="73"/>
      <c r="E14" s="73"/>
      <c r="F14" s="73"/>
      <c r="G14" s="66" t="s">
        <v>385</v>
      </c>
      <c r="H14" s="337"/>
      <c r="I14" s="334"/>
      <c r="J14" s="147"/>
      <c r="K14" s="296"/>
      <c r="L14" s="272"/>
      <c r="M14" s="149"/>
      <c r="N14" s="272"/>
      <c r="O14" s="272"/>
      <c r="P14" s="272"/>
      <c r="Q14" s="334"/>
      <c r="R14" s="292"/>
      <c r="T14" s="272"/>
    </row>
    <row r="15" spans="1:20" ht="15">
      <c r="A15" s="75">
        <v>600</v>
      </c>
      <c r="B15" s="73">
        <v>200</v>
      </c>
      <c r="C15" s="73">
        <v>100</v>
      </c>
      <c r="D15" s="73"/>
      <c r="E15" s="73"/>
      <c r="F15" s="73"/>
      <c r="G15" s="66" t="s">
        <v>386</v>
      </c>
      <c r="H15" s="337"/>
      <c r="I15" s="334"/>
      <c r="J15" s="147"/>
      <c r="K15" s="296"/>
      <c r="L15" s="272"/>
      <c r="M15" s="272"/>
      <c r="N15" s="272"/>
      <c r="O15" s="272"/>
      <c r="P15" s="272"/>
      <c r="Q15" s="334"/>
      <c r="R15" s="292"/>
      <c r="T15" s="272"/>
    </row>
    <row r="16" spans="1:20" ht="15">
      <c r="A16" s="75">
        <v>600</v>
      </c>
      <c r="B16" s="73">
        <v>200</v>
      </c>
      <c r="C16" s="73">
        <v>100</v>
      </c>
      <c r="D16" s="73">
        <v>100</v>
      </c>
      <c r="E16" s="73"/>
      <c r="F16" s="73"/>
      <c r="G16" s="66" t="s">
        <v>387</v>
      </c>
      <c r="H16" s="337"/>
      <c r="I16" s="334"/>
      <c r="J16" s="147" t="s">
        <v>3</v>
      </c>
      <c r="K16" s="296"/>
      <c r="L16" s="272"/>
      <c r="M16" s="272"/>
      <c r="N16" s="272"/>
      <c r="O16" s="272"/>
      <c r="P16" s="272"/>
      <c r="Q16" s="334"/>
      <c r="R16" s="292"/>
      <c r="T16" s="272"/>
    </row>
    <row r="17" spans="1:20" ht="15">
      <c r="A17" s="75">
        <v>600</v>
      </c>
      <c r="B17" s="73">
        <v>200</v>
      </c>
      <c r="C17" s="73">
        <v>100</v>
      </c>
      <c r="D17" s="73">
        <v>100</v>
      </c>
      <c r="E17" s="77">
        <v>10</v>
      </c>
      <c r="F17" s="77"/>
      <c r="G17" s="65" t="s">
        <v>388</v>
      </c>
      <c r="H17" s="333">
        <v>0</v>
      </c>
      <c r="I17" s="333">
        <v>0</v>
      </c>
      <c r="J17" s="51"/>
      <c r="K17" s="64"/>
      <c r="L17" s="278">
        <f t="shared" si="0"/>
        <v>0</v>
      </c>
      <c r="M17" s="291" t="e">
        <f aca="true" t="shared" si="2" ref="M17:M22">L17/I17</f>
        <v>#DIV/0!</v>
      </c>
      <c r="N17" s="279">
        <v>0</v>
      </c>
      <c r="O17" s="278">
        <f aca="true" t="shared" si="3" ref="O17:O22">H17-N17</f>
        <v>0</v>
      </c>
      <c r="P17" s="291" t="e">
        <f t="shared" si="1"/>
        <v>#DIV/0!</v>
      </c>
      <c r="Q17" s="333">
        <v>0</v>
      </c>
      <c r="R17" s="333">
        <f aca="true" t="shared" si="4" ref="R17:R25">H17-Q17</f>
        <v>0</v>
      </c>
      <c r="T17" s="279">
        <v>0</v>
      </c>
    </row>
    <row r="18" spans="1:20" ht="15">
      <c r="A18" s="75">
        <v>600</v>
      </c>
      <c r="B18" s="73">
        <v>200</v>
      </c>
      <c r="C18" s="73">
        <v>100</v>
      </c>
      <c r="D18" s="73">
        <v>100</v>
      </c>
      <c r="E18" s="77">
        <v>20</v>
      </c>
      <c r="F18" s="77"/>
      <c r="G18" s="65" t="s">
        <v>389</v>
      </c>
      <c r="H18" s="333">
        <v>0</v>
      </c>
      <c r="I18" s="333">
        <v>0</v>
      </c>
      <c r="J18" s="51"/>
      <c r="K18" s="64"/>
      <c r="L18" s="278">
        <f t="shared" si="0"/>
        <v>0</v>
      </c>
      <c r="M18" s="291" t="e">
        <f t="shared" si="2"/>
        <v>#DIV/0!</v>
      </c>
      <c r="N18" s="279">
        <v>0</v>
      </c>
      <c r="O18" s="278">
        <f t="shared" si="3"/>
        <v>0</v>
      </c>
      <c r="P18" s="291" t="e">
        <f t="shared" si="1"/>
        <v>#DIV/0!</v>
      </c>
      <c r="Q18" s="333">
        <v>0</v>
      </c>
      <c r="R18" s="333">
        <f t="shared" si="4"/>
        <v>0</v>
      </c>
      <c r="T18" s="279">
        <v>0</v>
      </c>
    </row>
    <row r="19" spans="1:20" ht="25.5">
      <c r="A19" s="75">
        <v>600</v>
      </c>
      <c r="B19" s="73">
        <v>200</v>
      </c>
      <c r="C19" s="73">
        <v>100</v>
      </c>
      <c r="D19" s="73">
        <v>100</v>
      </c>
      <c r="E19" s="77">
        <v>30</v>
      </c>
      <c r="F19" s="77"/>
      <c r="G19" s="65" t="s">
        <v>390</v>
      </c>
      <c r="H19" s="333">
        <v>0</v>
      </c>
      <c r="I19" s="333">
        <v>0</v>
      </c>
      <c r="J19" s="51"/>
      <c r="K19" s="64"/>
      <c r="L19" s="278">
        <f t="shared" si="0"/>
        <v>0</v>
      </c>
      <c r="M19" s="291" t="e">
        <f t="shared" si="2"/>
        <v>#DIV/0!</v>
      </c>
      <c r="N19" s="279">
        <v>0</v>
      </c>
      <c r="O19" s="278">
        <f t="shared" si="3"/>
        <v>0</v>
      </c>
      <c r="P19" s="291" t="e">
        <f t="shared" si="1"/>
        <v>#DIV/0!</v>
      </c>
      <c r="Q19" s="333">
        <v>0</v>
      </c>
      <c r="R19" s="333">
        <f t="shared" si="4"/>
        <v>0</v>
      </c>
      <c r="T19" s="279">
        <v>0</v>
      </c>
    </row>
    <row r="20" spans="1:20" ht="25.5">
      <c r="A20" s="75">
        <v>600</v>
      </c>
      <c r="B20" s="73">
        <v>200</v>
      </c>
      <c r="C20" s="73">
        <v>100</v>
      </c>
      <c r="D20" s="73">
        <v>100</v>
      </c>
      <c r="E20" s="77">
        <v>40</v>
      </c>
      <c r="F20" s="77"/>
      <c r="G20" s="65" t="s">
        <v>391</v>
      </c>
      <c r="H20" s="333">
        <v>102000</v>
      </c>
      <c r="I20" s="333">
        <v>0</v>
      </c>
      <c r="J20" s="51"/>
      <c r="K20" s="64"/>
      <c r="L20" s="278">
        <f t="shared" si="0"/>
        <v>102000</v>
      </c>
      <c r="M20" s="291" t="e">
        <f t="shared" si="2"/>
        <v>#DIV/0!</v>
      </c>
      <c r="N20" s="279">
        <v>0</v>
      </c>
      <c r="O20" s="278">
        <f t="shared" si="3"/>
        <v>102000</v>
      </c>
      <c r="P20" s="291" t="e">
        <f t="shared" si="1"/>
        <v>#DIV/0!</v>
      </c>
      <c r="Q20" s="333">
        <v>0</v>
      </c>
      <c r="R20" s="333">
        <f t="shared" si="4"/>
        <v>102000</v>
      </c>
      <c r="T20" s="279">
        <v>0</v>
      </c>
    </row>
    <row r="21" spans="1:21" ht="25.5">
      <c r="A21" s="75">
        <v>600</v>
      </c>
      <c r="B21" s="73">
        <v>200</v>
      </c>
      <c r="C21" s="73">
        <v>100</v>
      </c>
      <c r="D21" s="73">
        <v>100</v>
      </c>
      <c r="E21" s="77">
        <v>80</v>
      </c>
      <c r="F21" s="77"/>
      <c r="G21" s="65" t="s">
        <v>392</v>
      </c>
      <c r="H21" s="333">
        <v>114035</v>
      </c>
      <c r="I21" s="333">
        <f>272097+327510</f>
        <v>599607</v>
      </c>
      <c r="J21" s="51"/>
      <c r="K21" s="64"/>
      <c r="L21" s="278">
        <f t="shared" si="0"/>
        <v>-485572</v>
      </c>
      <c r="M21" s="291">
        <f t="shared" si="2"/>
        <v>-0.8098</v>
      </c>
      <c r="N21" s="279">
        <f>103193+116789</f>
        <v>219982</v>
      </c>
      <c r="O21" s="278">
        <f t="shared" si="3"/>
        <v>-105947</v>
      </c>
      <c r="P21" s="291">
        <f t="shared" si="1"/>
        <v>-0.4816</v>
      </c>
      <c r="Q21" s="333">
        <v>130779</v>
      </c>
      <c r="R21" s="333">
        <f t="shared" si="4"/>
        <v>-16744</v>
      </c>
      <c r="T21" s="279">
        <v>272097</v>
      </c>
      <c r="U21" s="67" t="s">
        <v>652</v>
      </c>
    </row>
    <row r="22" spans="1:21" ht="25.5">
      <c r="A22" s="75">
        <v>600</v>
      </c>
      <c r="B22" s="73">
        <v>200</v>
      </c>
      <c r="C22" s="73">
        <v>100</v>
      </c>
      <c r="D22" s="73">
        <v>100</v>
      </c>
      <c r="E22" s="77">
        <v>90</v>
      </c>
      <c r="F22" s="77"/>
      <c r="G22" s="65" t="s">
        <v>393</v>
      </c>
      <c r="H22" s="333">
        <v>0</v>
      </c>
      <c r="I22" s="333">
        <v>0</v>
      </c>
      <c r="J22" s="51"/>
      <c r="K22" s="64"/>
      <c r="L22" s="278">
        <f t="shared" si="0"/>
        <v>0</v>
      </c>
      <c r="M22" s="291" t="e">
        <f t="shared" si="2"/>
        <v>#DIV/0!</v>
      </c>
      <c r="N22" s="279">
        <v>0</v>
      </c>
      <c r="O22" s="278">
        <f t="shared" si="3"/>
        <v>0</v>
      </c>
      <c r="P22" s="291" t="e">
        <f t="shared" si="1"/>
        <v>#DIV/0!</v>
      </c>
      <c r="Q22" s="333">
        <v>0</v>
      </c>
      <c r="R22" s="333">
        <f t="shared" si="4"/>
        <v>0</v>
      </c>
      <c r="T22" s="279">
        <v>0</v>
      </c>
      <c r="U22" s="67"/>
    </row>
    <row r="23" spans="1:21" ht="25.5">
      <c r="A23" s="75">
        <v>600</v>
      </c>
      <c r="B23" s="73">
        <v>200</v>
      </c>
      <c r="C23" s="73">
        <v>100</v>
      </c>
      <c r="D23" s="74">
        <v>200</v>
      </c>
      <c r="E23" s="74"/>
      <c r="F23" s="74"/>
      <c r="G23" s="65" t="s">
        <v>394</v>
      </c>
      <c r="H23" s="333">
        <v>0</v>
      </c>
      <c r="I23" s="333">
        <v>0</v>
      </c>
      <c r="J23" s="147" t="s">
        <v>4</v>
      </c>
      <c r="K23" s="296"/>
      <c r="L23" s="272"/>
      <c r="M23" s="149"/>
      <c r="N23" s="278">
        <v>0</v>
      </c>
      <c r="O23" s="272"/>
      <c r="P23" s="272"/>
      <c r="Q23" s="335">
        <v>0</v>
      </c>
      <c r="R23" s="333">
        <f t="shared" si="4"/>
        <v>0</v>
      </c>
      <c r="T23" s="279">
        <v>0</v>
      </c>
      <c r="U23" s="67"/>
    </row>
    <row r="24" spans="1:21" ht="25.5">
      <c r="A24" s="75">
        <v>600</v>
      </c>
      <c r="B24" s="73">
        <v>200</v>
      </c>
      <c r="C24" s="73">
        <v>100</v>
      </c>
      <c r="D24" s="74">
        <v>300</v>
      </c>
      <c r="E24" s="74"/>
      <c r="F24" s="74"/>
      <c r="G24" s="65" t="s">
        <v>395</v>
      </c>
      <c r="H24" s="333">
        <v>0</v>
      </c>
      <c r="I24" s="333">
        <v>0</v>
      </c>
      <c r="J24" s="147" t="s">
        <v>5</v>
      </c>
      <c r="K24" s="296"/>
      <c r="L24" s="278">
        <f t="shared" si="0"/>
        <v>0</v>
      </c>
      <c r="M24" s="291" t="e">
        <f>L24/I24</f>
        <v>#DIV/0!</v>
      </c>
      <c r="N24" s="278">
        <v>0</v>
      </c>
      <c r="O24" s="278">
        <f aca="true" t="shared" si="5" ref="O24:O34">H24-N24</f>
        <v>0</v>
      </c>
      <c r="P24" s="291" t="e">
        <f t="shared" si="1"/>
        <v>#DIV/0!</v>
      </c>
      <c r="Q24" s="335">
        <v>0</v>
      </c>
      <c r="R24" s="333">
        <f t="shared" si="4"/>
        <v>0</v>
      </c>
      <c r="T24" s="279">
        <v>0</v>
      </c>
      <c r="U24" s="67"/>
    </row>
    <row r="25" spans="1:21" ht="15">
      <c r="A25" s="75">
        <v>600</v>
      </c>
      <c r="B25" s="73">
        <v>200</v>
      </c>
      <c r="C25" s="73">
        <v>100</v>
      </c>
      <c r="D25" s="74">
        <v>400</v>
      </c>
      <c r="E25" s="74"/>
      <c r="F25" s="74"/>
      <c r="G25" s="65" t="s">
        <v>396</v>
      </c>
      <c r="H25" s="333">
        <v>317315</v>
      </c>
      <c r="I25" s="333">
        <f>327510-327510</f>
        <v>0</v>
      </c>
      <c r="J25" s="147" t="s">
        <v>6</v>
      </c>
      <c r="K25" s="296"/>
      <c r="L25" s="278">
        <f t="shared" si="0"/>
        <v>317315</v>
      </c>
      <c r="M25" s="291" t="e">
        <f>L25/I25</f>
        <v>#DIV/0!</v>
      </c>
      <c r="N25" s="278">
        <f>316337</f>
        <v>316337</v>
      </c>
      <c r="O25" s="278">
        <f t="shared" si="5"/>
        <v>978</v>
      </c>
      <c r="P25" s="291">
        <f t="shared" si="1"/>
        <v>0.0031</v>
      </c>
      <c r="Q25" s="335">
        <v>317316</v>
      </c>
      <c r="R25" s="333">
        <f t="shared" si="4"/>
        <v>-1</v>
      </c>
      <c r="T25" s="279">
        <v>327510</v>
      </c>
      <c r="U25" s="67" t="s">
        <v>651</v>
      </c>
    </row>
    <row r="26" spans="1:20" ht="25.5">
      <c r="A26" s="75">
        <v>600</v>
      </c>
      <c r="B26" s="73">
        <v>200</v>
      </c>
      <c r="C26" s="73">
        <v>200</v>
      </c>
      <c r="D26" s="73"/>
      <c r="E26" s="73"/>
      <c r="F26" s="73"/>
      <c r="G26" s="66" t="s">
        <v>397</v>
      </c>
      <c r="H26" s="334"/>
      <c r="I26" s="334"/>
      <c r="J26" s="147"/>
      <c r="K26" s="296"/>
      <c r="L26" s="272"/>
      <c r="M26" s="272"/>
      <c r="N26" s="272"/>
      <c r="O26" s="272"/>
      <c r="P26" s="272"/>
      <c r="Q26" s="334"/>
      <c r="R26" s="292"/>
      <c r="T26" s="272"/>
    </row>
    <row r="27" spans="1:20" ht="25.5">
      <c r="A27" s="75">
        <v>600</v>
      </c>
      <c r="B27" s="73">
        <v>200</v>
      </c>
      <c r="C27" s="73">
        <v>200</v>
      </c>
      <c r="D27" s="74">
        <v>100</v>
      </c>
      <c r="E27" s="74"/>
      <c r="F27" s="74"/>
      <c r="G27" s="65" t="s">
        <v>398</v>
      </c>
      <c r="H27" s="335">
        <v>0</v>
      </c>
      <c r="I27" s="333">
        <v>0</v>
      </c>
      <c r="J27" s="147" t="s">
        <v>7</v>
      </c>
      <c r="K27" s="296"/>
      <c r="L27" s="278">
        <f t="shared" si="0"/>
        <v>0</v>
      </c>
      <c r="M27" s="291" t="e">
        <f>L27/I27</f>
        <v>#DIV/0!</v>
      </c>
      <c r="N27" s="278">
        <v>0</v>
      </c>
      <c r="O27" s="278">
        <f t="shared" si="5"/>
        <v>0</v>
      </c>
      <c r="P27" s="291" t="e">
        <f t="shared" si="1"/>
        <v>#DIV/0!</v>
      </c>
      <c r="Q27" s="335">
        <v>0</v>
      </c>
      <c r="R27" s="333">
        <f>H27-Q27</f>
        <v>0</v>
      </c>
      <c r="T27" s="279">
        <v>0</v>
      </c>
    </row>
    <row r="28" spans="1:20" ht="25.5">
      <c r="A28" s="75">
        <v>600</v>
      </c>
      <c r="B28" s="73">
        <v>200</v>
      </c>
      <c r="C28" s="73">
        <v>200</v>
      </c>
      <c r="D28" s="74">
        <v>200</v>
      </c>
      <c r="E28" s="74"/>
      <c r="F28" s="74"/>
      <c r="G28" s="65" t="s">
        <v>399</v>
      </c>
      <c r="H28" s="335">
        <v>0</v>
      </c>
      <c r="I28" s="333">
        <v>0</v>
      </c>
      <c r="J28" s="147" t="s">
        <v>8</v>
      </c>
      <c r="K28" s="296"/>
      <c r="L28" s="278">
        <f t="shared" si="0"/>
        <v>0</v>
      </c>
      <c r="M28" s="291" t="e">
        <f>L28/I28</f>
        <v>#DIV/0!</v>
      </c>
      <c r="N28" s="278">
        <v>0</v>
      </c>
      <c r="O28" s="278">
        <f t="shared" si="5"/>
        <v>0</v>
      </c>
      <c r="P28" s="291" t="e">
        <f t="shared" si="1"/>
        <v>#DIV/0!</v>
      </c>
      <c r="Q28" s="335">
        <v>0</v>
      </c>
      <c r="R28" s="333">
        <f>H28-Q28</f>
        <v>0</v>
      </c>
      <c r="T28" s="279">
        <v>0</v>
      </c>
    </row>
    <row r="29" spans="1:20" ht="15">
      <c r="A29" s="75">
        <v>600</v>
      </c>
      <c r="B29" s="73">
        <v>200</v>
      </c>
      <c r="C29" s="73">
        <v>300</v>
      </c>
      <c r="D29" s="73"/>
      <c r="E29" s="73"/>
      <c r="F29" s="73"/>
      <c r="G29" s="66" t="s">
        <v>400</v>
      </c>
      <c r="H29" s="334"/>
      <c r="I29" s="337"/>
      <c r="J29" s="147"/>
      <c r="K29" s="296"/>
      <c r="L29" s="272"/>
      <c r="M29" s="272"/>
      <c r="N29" s="272"/>
      <c r="O29" s="272"/>
      <c r="P29" s="272"/>
      <c r="Q29" s="334"/>
      <c r="R29" s="292"/>
      <c r="T29" s="149"/>
    </row>
    <row r="30" spans="1:20" ht="15">
      <c r="A30" s="75">
        <v>600</v>
      </c>
      <c r="B30" s="73">
        <v>200</v>
      </c>
      <c r="C30" s="73">
        <v>300</v>
      </c>
      <c r="D30" s="73">
        <v>100</v>
      </c>
      <c r="E30" s="73"/>
      <c r="F30" s="73"/>
      <c r="G30" s="66" t="s">
        <v>401</v>
      </c>
      <c r="H30" s="334"/>
      <c r="I30" s="337"/>
      <c r="J30" s="147" t="s">
        <v>9</v>
      </c>
      <c r="K30" s="296"/>
      <c r="L30" s="272"/>
      <c r="M30" s="272"/>
      <c r="N30" s="272"/>
      <c r="O30" s="272"/>
      <c r="P30" s="272"/>
      <c r="Q30" s="334"/>
      <c r="R30" s="292"/>
      <c r="T30" s="149"/>
    </row>
    <row r="31" spans="1:20" ht="15">
      <c r="A31" s="75">
        <v>600</v>
      </c>
      <c r="B31" s="73">
        <v>200</v>
      </c>
      <c r="C31" s="73">
        <v>300</v>
      </c>
      <c r="D31" s="73">
        <v>100</v>
      </c>
      <c r="E31" s="77">
        <v>10</v>
      </c>
      <c r="F31" s="77"/>
      <c r="G31" s="65" t="s">
        <v>402</v>
      </c>
      <c r="H31" s="333">
        <v>0</v>
      </c>
      <c r="I31" s="333">
        <v>0</v>
      </c>
      <c r="J31" s="51"/>
      <c r="K31" s="64"/>
      <c r="L31" s="278">
        <f t="shared" si="0"/>
        <v>0</v>
      </c>
      <c r="M31" s="291" t="e">
        <f>L31/I31</f>
        <v>#DIV/0!</v>
      </c>
      <c r="N31" s="279">
        <v>0</v>
      </c>
      <c r="O31" s="278">
        <f t="shared" si="5"/>
        <v>0</v>
      </c>
      <c r="P31" s="291" t="e">
        <f t="shared" si="1"/>
        <v>#DIV/0!</v>
      </c>
      <c r="Q31" s="333">
        <v>0</v>
      </c>
      <c r="R31" s="333">
        <f aca="true" t="shared" si="6" ref="R31:R38">H31-Q31</f>
        <v>0</v>
      </c>
      <c r="T31" s="279">
        <v>0</v>
      </c>
    </row>
    <row r="32" spans="1:20" ht="15">
      <c r="A32" s="75">
        <v>600</v>
      </c>
      <c r="B32" s="73">
        <v>200</v>
      </c>
      <c r="C32" s="73">
        <v>300</v>
      </c>
      <c r="D32" s="73">
        <v>100</v>
      </c>
      <c r="E32" s="77">
        <v>20</v>
      </c>
      <c r="F32" s="77"/>
      <c r="G32" s="65" t="s">
        <v>403</v>
      </c>
      <c r="H32" s="333">
        <v>0</v>
      </c>
      <c r="I32" s="333">
        <v>0</v>
      </c>
      <c r="J32" s="51"/>
      <c r="K32" s="64"/>
      <c r="L32" s="278">
        <f t="shared" si="0"/>
        <v>0</v>
      </c>
      <c r="M32" s="291" t="e">
        <f>L32/I32</f>
        <v>#DIV/0!</v>
      </c>
      <c r="N32" s="279">
        <v>0</v>
      </c>
      <c r="O32" s="278">
        <f t="shared" si="5"/>
        <v>0</v>
      </c>
      <c r="P32" s="291" t="e">
        <f t="shared" si="1"/>
        <v>#DIV/0!</v>
      </c>
      <c r="Q32" s="333">
        <v>0</v>
      </c>
      <c r="R32" s="333">
        <f t="shared" si="6"/>
        <v>0</v>
      </c>
      <c r="T32" s="279">
        <v>0</v>
      </c>
    </row>
    <row r="33" spans="1:20" ht="15">
      <c r="A33" s="75">
        <v>600</v>
      </c>
      <c r="B33" s="73">
        <v>200</v>
      </c>
      <c r="C33" s="73">
        <v>300</v>
      </c>
      <c r="D33" s="73">
        <v>100</v>
      </c>
      <c r="E33" s="77">
        <v>30</v>
      </c>
      <c r="F33" s="77"/>
      <c r="G33" s="65" t="s">
        <v>404</v>
      </c>
      <c r="H33" s="333">
        <v>0</v>
      </c>
      <c r="I33" s="333">
        <v>0</v>
      </c>
      <c r="J33" s="51"/>
      <c r="K33" s="64"/>
      <c r="L33" s="278">
        <f t="shared" si="0"/>
        <v>0</v>
      </c>
      <c r="M33" s="291" t="e">
        <f>L33/I33</f>
        <v>#DIV/0!</v>
      </c>
      <c r="N33" s="279">
        <v>0</v>
      </c>
      <c r="O33" s="278">
        <f t="shared" si="5"/>
        <v>0</v>
      </c>
      <c r="P33" s="291" t="e">
        <f t="shared" si="1"/>
        <v>#DIV/0!</v>
      </c>
      <c r="Q33" s="333">
        <v>0</v>
      </c>
      <c r="R33" s="333">
        <f t="shared" si="6"/>
        <v>0</v>
      </c>
      <c r="T33" s="279">
        <v>0</v>
      </c>
    </row>
    <row r="34" spans="1:20" ht="15">
      <c r="A34" s="75">
        <v>600</v>
      </c>
      <c r="B34" s="73">
        <v>200</v>
      </c>
      <c r="C34" s="73">
        <v>300</v>
      </c>
      <c r="D34" s="73">
        <v>100</v>
      </c>
      <c r="E34" s="77">
        <v>40</v>
      </c>
      <c r="F34" s="77"/>
      <c r="G34" s="65" t="s">
        <v>405</v>
      </c>
      <c r="H34" s="333">
        <v>0</v>
      </c>
      <c r="I34" s="333">
        <v>0</v>
      </c>
      <c r="J34" s="51"/>
      <c r="K34" s="64"/>
      <c r="L34" s="278">
        <f t="shared" si="0"/>
        <v>0</v>
      </c>
      <c r="M34" s="291" t="e">
        <f>L34/I34</f>
        <v>#DIV/0!</v>
      </c>
      <c r="N34" s="279">
        <v>0</v>
      </c>
      <c r="O34" s="278">
        <f t="shared" si="5"/>
        <v>0</v>
      </c>
      <c r="P34" s="291" t="e">
        <f t="shared" si="1"/>
        <v>#DIV/0!</v>
      </c>
      <c r="Q34" s="333">
        <v>0</v>
      </c>
      <c r="R34" s="333">
        <f t="shared" si="6"/>
        <v>0</v>
      </c>
      <c r="T34" s="279">
        <v>0</v>
      </c>
    </row>
    <row r="35" spans="1:20" ht="25.5">
      <c r="A35" s="75">
        <v>600</v>
      </c>
      <c r="B35" s="73">
        <v>200</v>
      </c>
      <c r="C35" s="73">
        <v>300</v>
      </c>
      <c r="D35" s="73">
        <v>100</v>
      </c>
      <c r="E35" s="77">
        <v>80</v>
      </c>
      <c r="F35" s="81"/>
      <c r="G35" s="65" t="s">
        <v>406</v>
      </c>
      <c r="H35" s="333">
        <v>0</v>
      </c>
      <c r="I35" s="333">
        <v>0</v>
      </c>
      <c r="J35" s="51"/>
      <c r="K35" s="64"/>
      <c r="L35" s="272"/>
      <c r="M35" s="149"/>
      <c r="N35" s="279">
        <v>0</v>
      </c>
      <c r="O35" s="272"/>
      <c r="P35" s="272"/>
      <c r="Q35" s="333">
        <v>0</v>
      </c>
      <c r="R35" s="333">
        <f t="shared" si="6"/>
        <v>0</v>
      </c>
      <c r="T35" s="279">
        <v>0</v>
      </c>
    </row>
    <row r="36" spans="1:20" ht="25.5">
      <c r="A36" s="75">
        <v>600</v>
      </c>
      <c r="B36" s="73">
        <v>200</v>
      </c>
      <c r="C36" s="73">
        <v>300</v>
      </c>
      <c r="D36" s="73">
        <v>100</v>
      </c>
      <c r="E36" s="77">
        <v>90</v>
      </c>
      <c r="F36" s="77"/>
      <c r="G36" s="65" t="s">
        <v>407</v>
      </c>
      <c r="H36" s="333">
        <v>0</v>
      </c>
      <c r="I36" s="333">
        <v>0</v>
      </c>
      <c r="J36" s="51"/>
      <c r="K36" s="64"/>
      <c r="L36" s="278">
        <f t="shared" si="0"/>
        <v>0</v>
      </c>
      <c r="M36" s="291" t="e">
        <f>L36/I36</f>
        <v>#DIV/0!</v>
      </c>
      <c r="N36" s="279">
        <v>0</v>
      </c>
      <c r="O36" s="278">
        <f>H36-N36</f>
        <v>0</v>
      </c>
      <c r="P36" s="291" t="e">
        <f t="shared" si="1"/>
        <v>#DIV/0!</v>
      </c>
      <c r="Q36" s="333">
        <v>0</v>
      </c>
      <c r="R36" s="333">
        <f t="shared" si="6"/>
        <v>0</v>
      </c>
      <c r="T36" s="279">
        <v>0</v>
      </c>
    </row>
    <row r="37" spans="1:20" ht="15">
      <c r="A37" s="75">
        <v>600</v>
      </c>
      <c r="B37" s="73">
        <v>200</v>
      </c>
      <c r="C37" s="73">
        <v>300</v>
      </c>
      <c r="D37" s="74">
        <v>200</v>
      </c>
      <c r="E37" s="74"/>
      <c r="F37" s="74"/>
      <c r="G37" s="65" t="s">
        <v>408</v>
      </c>
      <c r="H37" s="335">
        <v>0</v>
      </c>
      <c r="I37" s="333">
        <v>0</v>
      </c>
      <c r="J37" s="147" t="s">
        <v>10</v>
      </c>
      <c r="K37" s="296"/>
      <c r="L37" s="278">
        <f t="shared" si="0"/>
        <v>0</v>
      </c>
      <c r="M37" s="291" t="e">
        <f>L37/I37</f>
        <v>#DIV/0!</v>
      </c>
      <c r="N37" s="278">
        <v>0</v>
      </c>
      <c r="O37" s="278">
        <f>H37-N37</f>
        <v>0</v>
      </c>
      <c r="P37" s="291" t="e">
        <f t="shared" si="1"/>
        <v>#DIV/0!</v>
      </c>
      <c r="Q37" s="335">
        <v>0</v>
      </c>
      <c r="R37" s="333">
        <f t="shared" si="6"/>
        <v>0</v>
      </c>
      <c r="T37" s="279">
        <v>0</v>
      </c>
    </row>
    <row r="38" spans="1:20" ht="15">
      <c r="A38" s="75">
        <v>600</v>
      </c>
      <c r="B38" s="73">
        <v>200</v>
      </c>
      <c r="C38" s="73">
        <v>300</v>
      </c>
      <c r="D38" s="74">
        <v>300</v>
      </c>
      <c r="E38" s="74"/>
      <c r="F38" s="74"/>
      <c r="G38" s="65" t="s">
        <v>409</v>
      </c>
      <c r="H38" s="335">
        <v>210797</v>
      </c>
      <c r="I38" s="333">
        <v>279898</v>
      </c>
      <c r="J38" s="147" t="s">
        <v>11</v>
      </c>
      <c r="K38" s="296"/>
      <c r="L38" s="278">
        <f t="shared" si="0"/>
        <v>-69101</v>
      </c>
      <c r="M38" s="291">
        <f>L38/I38</f>
        <v>-0.2469</v>
      </c>
      <c r="N38" s="278">
        <v>300000</v>
      </c>
      <c r="O38" s="278">
        <f>H38-N38</f>
        <v>-89203</v>
      </c>
      <c r="P38" s="291">
        <f t="shared" si="1"/>
        <v>-0.2973</v>
      </c>
      <c r="Q38" s="335">
        <v>250000</v>
      </c>
      <c r="R38" s="333">
        <f t="shared" si="6"/>
        <v>-39203</v>
      </c>
      <c r="T38" s="279">
        <v>279898</v>
      </c>
    </row>
    <row r="39" spans="1:20" ht="15">
      <c r="A39" s="75">
        <v>600</v>
      </c>
      <c r="B39" s="73">
        <v>300</v>
      </c>
      <c r="C39" s="73"/>
      <c r="D39" s="73"/>
      <c r="E39" s="73"/>
      <c r="F39" s="73"/>
      <c r="G39" s="66" t="s">
        <v>410</v>
      </c>
      <c r="H39" s="334"/>
      <c r="I39" s="334"/>
      <c r="J39" s="147"/>
      <c r="K39" s="296"/>
      <c r="L39" s="272"/>
      <c r="M39" s="149"/>
      <c r="N39" s="272"/>
      <c r="O39" s="272"/>
      <c r="P39" s="272"/>
      <c r="Q39" s="334"/>
      <c r="R39" s="292"/>
      <c r="T39" s="272"/>
    </row>
    <row r="40" spans="1:20" ht="15">
      <c r="A40" s="75">
        <v>600</v>
      </c>
      <c r="B40" s="73">
        <v>300</v>
      </c>
      <c r="C40" s="74">
        <v>100</v>
      </c>
      <c r="D40" s="74"/>
      <c r="E40" s="74"/>
      <c r="F40" s="74"/>
      <c r="G40" s="65" t="s">
        <v>411</v>
      </c>
      <c r="H40" s="335">
        <v>3592483</v>
      </c>
      <c r="I40" s="333">
        <v>3689608</v>
      </c>
      <c r="J40" s="147" t="s">
        <v>12</v>
      </c>
      <c r="K40" s="296"/>
      <c r="L40" s="278">
        <f t="shared" si="0"/>
        <v>-97125</v>
      </c>
      <c r="M40" s="291">
        <f>L40/I40</f>
        <v>-0.0263</v>
      </c>
      <c r="N40" s="278">
        <f>ROUND(70%*3689608,0)</f>
        <v>2582726</v>
      </c>
      <c r="O40" s="278">
        <f>H40-N40</f>
        <v>1009757</v>
      </c>
      <c r="P40" s="291">
        <f t="shared" si="1"/>
        <v>0.391</v>
      </c>
      <c r="Q40" s="335">
        <v>3551034</v>
      </c>
      <c r="R40" s="333">
        <f>H40-Q40</f>
        <v>41449</v>
      </c>
      <c r="T40" s="279">
        <v>3689608</v>
      </c>
    </row>
    <row r="41" spans="1:21" ht="15">
      <c r="A41" s="75">
        <v>600</v>
      </c>
      <c r="B41" s="73">
        <v>300</v>
      </c>
      <c r="C41" s="74">
        <v>200</v>
      </c>
      <c r="D41" s="74"/>
      <c r="E41" s="74"/>
      <c r="F41" s="74"/>
      <c r="G41" s="65" t="s">
        <v>412</v>
      </c>
      <c r="H41" s="335">
        <v>1200857</v>
      </c>
      <c r="I41" s="333">
        <f>312273+2845470</f>
        <v>3157743</v>
      </c>
      <c r="J41" s="147" t="s">
        <v>13</v>
      </c>
      <c r="K41" s="296"/>
      <c r="L41" s="278">
        <f t="shared" si="0"/>
        <v>-1956886</v>
      </c>
      <c r="M41" s="291">
        <f>L41/I41</f>
        <v>-0.6197</v>
      </c>
      <c r="N41" s="278">
        <v>155625</v>
      </c>
      <c r="O41" s="278">
        <f>H41-N41</f>
        <v>1045232</v>
      </c>
      <c r="P41" s="291">
        <f t="shared" si="1"/>
        <v>6.7164</v>
      </c>
      <c r="Q41" s="335">
        <v>155625</v>
      </c>
      <c r="R41" s="333">
        <f>H41-Q41</f>
        <v>1045232</v>
      </c>
      <c r="T41" s="279">
        <v>312273</v>
      </c>
      <c r="U41" s="285" t="s">
        <v>656</v>
      </c>
    </row>
    <row r="42" spans="1:20" ht="15">
      <c r="A42" s="75">
        <v>600</v>
      </c>
      <c r="B42" s="73">
        <v>300</v>
      </c>
      <c r="C42" s="73">
        <v>300</v>
      </c>
      <c r="D42" s="73"/>
      <c r="E42" s="73"/>
      <c r="F42" s="73"/>
      <c r="G42" s="66" t="s">
        <v>413</v>
      </c>
      <c r="H42" s="337"/>
      <c r="I42" s="334"/>
      <c r="J42" s="147" t="s">
        <v>14</v>
      </c>
      <c r="K42" s="296"/>
      <c r="L42" s="272"/>
      <c r="M42" s="149"/>
      <c r="N42" s="272"/>
      <c r="O42" s="272"/>
      <c r="P42" s="272"/>
      <c r="Q42" s="334"/>
      <c r="R42" s="292"/>
      <c r="T42" s="272"/>
    </row>
    <row r="43" spans="1:20" ht="15">
      <c r="A43" s="75">
        <v>600</v>
      </c>
      <c r="B43" s="73">
        <v>300</v>
      </c>
      <c r="C43" s="73">
        <v>300</v>
      </c>
      <c r="D43" s="77">
        <v>100</v>
      </c>
      <c r="E43" s="77"/>
      <c r="F43" s="77"/>
      <c r="G43" s="65" t="s">
        <v>414</v>
      </c>
      <c r="H43" s="333">
        <v>575878</v>
      </c>
      <c r="I43" s="333">
        <v>9297000</v>
      </c>
      <c r="J43" s="51"/>
      <c r="K43" s="64"/>
      <c r="L43" s="278">
        <f t="shared" si="0"/>
        <v>-8721122</v>
      </c>
      <c r="M43" s="291">
        <f>L43/I43</f>
        <v>-0.9381</v>
      </c>
      <c r="N43" s="279">
        <v>0</v>
      </c>
      <c r="O43" s="278">
        <f>H43-N43</f>
        <v>575878</v>
      </c>
      <c r="P43" s="291" t="e">
        <f t="shared" si="1"/>
        <v>#DIV/0!</v>
      </c>
      <c r="Q43" s="333">
        <v>0</v>
      </c>
      <c r="R43" s="333">
        <f>H43-Q43</f>
        <v>575878</v>
      </c>
      <c r="T43" s="279">
        <v>9297000</v>
      </c>
    </row>
    <row r="44" spans="1:21" ht="15">
      <c r="A44" s="75">
        <v>600</v>
      </c>
      <c r="B44" s="73">
        <v>300</v>
      </c>
      <c r="C44" s="73">
        <v>300</v>
      </c>
      <c r="D44" s="77">
        <v>900</v>
      </c>
      <c r="E44" s="77"/>
      <c r="F44" s="77"/>
      <c r="G44" s="65" t="s">
        <v>415</v>
      </c>
      <c r="H44" s="333">
        <v>724920</v>
      </c>
      <c r="I44" s="333">
        <f>389646</f>
        <v>389646</v>
      </c>
      <c r="J44" s="51"/>
      <c r="K44" s="64"/>
      <c r="L44" s="278">
        <f t="shared" si="0"/>
        <v>335274</v>
      </c>
      <c r="M44" s="291">
        <f>L44/I44</f>
        <v>0.8605</v>
      </c>
      <c r="N44" s="279">
        <v>0</v>
      </c>
      <c r="O44" s="278">
        <f>H44-N44</f>
        <v>724920</v>
      </c>
      <c r="P44" s="291" t="e">
        <f t="shared" si="1"/>
        <v>#DIV/0!</v>
      </c>
      <c r="Q44" s="333">
        <v>0</v>
      </c>
      <c r="R44" s="333">
        <f>H44-Q44</f>
        <v>724920</v>
      </c>
      <c r="T44" s="279">
        <v>0</v>
      </c>
      <c r="U44" s="285" t="s">
        <v>655</v>
      </c>
    </row>
    <row r="45" spans="1:21" ht="15">
      <c r="A45" s="75">
        <v>600</v>
      </c>
      <c r="B45" s="73">
        <v>300</v>
      </c>
      <c r="C45" s="74">
        <v>400</v>
      </c>
      <c r="D45" s="74"/>
      <c r="E45" s="74"/>
      <c r="F45" s="74"/>
      <c r="G45" s="65" t="s">
        <v>416</v>
      </c>
      <c r="H45" s="335">
        <v>5204096</v>
      </c>
      <c r="I45" s="333">
        <f>2445225</f>
        <v>2445225</v>
      </c>
      <c r="J45" s="147" t="s">
        <v>15</v>
      </c>
      <c r="K45" s="296"/>
      <c r="L45" s="278">
        <f t="shared" si="0"/>
        <v>2758871</v>
      </c>
      <c r="M45" s="291">
        <f>L45/I45</f>
        <v>1.1283</v>
      </c>
      <c r="N45" s="278">
        <v>0</v>
      </c>
      <c r="O45" s="278">
        <f>H45-N45</f>
        <v>5204096</v>
      </c>
      <c r="P45" s="291" t="e">
        <f t="shared" si="1"/>
        <v>#DIV/0!</v>
      </c>
      <c r="Q45" s="335">
        <v>0</v>
      </c>
      <c r="R45" s="333">
        <f>H45-Q45</f>
        <v>5204096</v>
      </c>
      <c r="T45" s="279">
        <v>0</v>
      </c>
      <c r="U45" s="67" t="s">
        <v>654</v>
      </c>
    </row>
    <row r="46" spans="1:21" ht="15">
      <c r="A46" s="75">
        <v>600</v>
      </c>
      <c r="B46" s="74">
        <v>400</v>
      </c>
      <c r="C46" s="74"/>
      <c r="D46" s="74"/>
      <c r="E46" s="74"/>
      <c r="F46" s="74"/>
      <c r="G46" s="65" t="s">
        <v>417</v>
      </c>
      <c r="H46" s="335">
        <v>0</v>
      </c>
      <c r="I46" s="333">
        <v>0</v>
      </c>
      <c r="J46" s="147" t="s">
        <v>16</v>
      </c>
      <c r="K46" s="296"/>
      <c r="L46" s="278">
        <f t="shared" si="0"/>
        <v>0</v>
      </c>
      <c r="M46" s="291" t="e">
        <f>L46/I46</f>
        <v>#DIV/0!</v>
      </c>
      <c r="N46" s="278">
        <v>0</v>
      </c>
      <c r="O46" s="278">
        <f>H46-N46</f>
        <v>0</v>
      </c>
      <c r="P46" s="291" t="e">
        <f t="shared" si="1"/>
        <v>#DIV/0!</v>
      </c>
      <c r="Q46" s="335">
        <v>0</v>
      </c>
      <c r="R46" s="333">
        <f>H46-Q46</f>
        <v>0</v>
      </c>
      <c r="T46" s="279">
        <v>0</v>
      </c>
      <c r="U46" s="67"/>
    </row>
    <row r="47" spans="1:21" s="50" customFormat="1" ht="15">
      <c r="A47" s="71">
        <v>610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140" t="s">
        <v>418</v>
      </c>
      <c r="H47" s="336"/>
      <c r="I47" s="336"/>
      <c r="J47" s="141"/>
      <c r="K47" s="295"/>
      <c r="L47" s="272"/>
      <c r="M47" s="149"/>
      <c r="N47" s="273"/>
      <c r="O47" s="272"/>
      <c r="P47" s="272"/>
      <c r="Q47" s="336"/>
      <c r="R47" s="292"/>
      <c r="T47" s="273"/>
      <c r="U47" s="49"/>
    </row>
    <row r="48" spans="1:21" ht="25.5">
      <c r="A48" s="75">
        <v>610</v>
      </c>
      <c r="B48" s="74">
        <v>100</v>
      </c>
      <c r="C48" s="74"/>
      <c r="D48" s="74"/>
      <c r="E48" s="74"/>
      <c r="F48" s="74"/>
      <c r="G48" s="65" t="s">
        <v>419</v>
      </c>
      <c r="H48" s="335">
        <v>0</v>
      </c>
      <c r="I48" s="333">
        <v>0</v>
      </c>
      <c r="J48" s="147" t="s">
        <v>17</v>
      </c>
      <c r="K48" s="296"/>
      <c r="L48" s="278">
        <f t="shared" si="0"/>
        <v>0</v>
      </c>
      <c r="M48" s="291" t="e">
        <f>L48/I48</f>
        <v>#DIV/0!</v>
      </c>
      <c r="N48" s="278">
        <v>0</v>
      </c>
      <c r="O48" s="278">
        <f aca="true" t="shared" si="7" ref="O48:O54">H48-N48</f>
        <v>0</v>
      </c>
      <c r="P48" s="291" t="e">
        <f t="shared" si="1"/>
        <v>#DIV/0!</v>
      </c>
      <c r="Q48" s="335">
        <v>0</v>
      </c>
      <c r="R48" s="333">
        <f>H48-Q48</f>
        <v>0</v>
      </c>
      <c r="T48" s="279">
        <v>0</v>
      </c>
      <c r="U48" s="67"/>
    </row>
    <row r="49" spans="1:21" ht="25.5">
      <c r="A49" s="75">
        <v>610</v>
      </c>
      <c r="B49" s="74">
        <v>200</v>
      </c>
      <c r="C49" s="74"/>
      <c r="D49" s="74"/>
      <c r="E49" s="74"/>
      <c r="F49" s="74"/>
      <c r="G49" s="65" t="s">
        <v>420</v>
      </c>
      <c r="H49" s="335">
        <v>0</v>
      </c>
      <c r="I49" s="333">
        <v>0</v>
      </c>
      <c r="J49" s="147" t="s">
        <v>18</v>
      </c>
      <c r="K49" s="296"/>
      <c r="L49" s="278">
        <f t="shared" si="0"/>
        <v>0</v>
      </c>
      <c r="M49" s="291" t="e">
        <f>L49/I49</f>
        <v>#DIV/0!</v>
      </c>
      <c r="N49" s="278">
        <v>0</v>
      </c>
      <c r="O49" s="278">
        <f t="shared" si="7"/>
        <v>0</v>
      </c>
      <c r="P49" s="291" t="e">
        <f t="shared" si="1"/>
        <v>#DIV/0!</v>
      </c>
      <c r="Q49" s="335">
        <v>0</v>
      </c>
      <c r="R49" s="333">
        <f>H49-Q49</f>
        <v>0</v>
      </c>
      <c r="T49" s="279">
        <v>0</v>
      </c>
      <c r="U49" s="67"/>
    </row>
    <row r="50" spans="1:21" s="50" customFormat="1" ht="25.5">
      <c r="A50" s="71">
        <v>620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140" t="s">
        <v>272</v>
      </c>
      <c r="H50" s="336"/>
      <c r="I50" s="336"/>
      <c r="J50" s="141"/>
      <c r="K50" s="295"/>
      <c r="L50" s="273"/>
      <c r="M50" s="273"/>
      <c r="N50" s="273"/>
      <c r="O50" s="273"/>
      <c r="P50" s="273"/>
      <c r="Q50" s="336"/>
      <c r="R50" s="292"/>
      <c r="T50" s="273"/>
      <c r="U50" s="49"/>
    </row>
    <row r="51" spans="1:21" ht="38.25">
      <c r="A51" s="75">
        <v>620</v>
      </c>
      <c r="B51" s="74">
        <v>100</v>
      </c>
      <c r="C51" s="74"/>
      <c r="D51" s="74"/>
      <c r="E51" s="74"/>
      <c r="F51" s="74"/>
      <c r="G51" s="65" t="s">
        <v>421</v>
      </c>
      <c r="H51" s="335">
        <v>0</v>
      </c>
      <c r="I51" s="333">
        <v>0</v>
      </c>
      <c r="J51" s="147" t="s">
        <v>19</v>
      </c>
      <c r="K51" s="296"/>
      <c r="L51" s="278">
        <f t="shared" si="0"/>
        <v>0</v>
      </c>
      <c r="M51" s="291" t="e">
        <f>L51/I51</f>
        <v>#DIV/0!</v>
      </c>
      <c r="N51" s="278">
        <v>0</v>
      </c>
      <c r="O51" s="278">
        <f t="shared" si="7"/>
        <v>0</v>
      </c>
      <c r="P51" s="291" t="e">
        <f t="shared" si="1"/>
        <v>#DIV/0!</v>
      </c>
      <c r="Q51" s="335">
        <v>0</v>
      </c>
      <c r="R51" s="333">
        <f>H51-Q51</f>
        <v>0</v>
      </c>
      <c r="T51" s="279">
        <v>0</v>
      </c>
      <c r="U51" s="67"/>
    </row>
    <row r="52" spans="1:21" ht="25.5">
      <c r="A52" s="75">
        <v>620</v>
      </c>
      <c r="B52" s="74">
        <v>200</v>
      </c>
      <c r="C52" s="74"/>
      <c r="D52" s="74"/>
      <c r="E52" s="74"/>
      <c r="F52" s="74"/>
      <c r="G52" s="65" t="s">
        <v>422</v>
      </c>
      <c r="H52" s="335">
        <v>0</v>
      </c>
      <c r="I52" s="333">
        <v>0</v>
      </c>
      <c r="J52" s="147" t="s">
        <v>20</v>
      </c>
      <c r="K52" s="296"/>
      <c r="L52" s="278">
        <f t="shared" si="0"/>
        <v>0</v>
      </c>
      <c r="M52" s="291" t="e">
        <f>L52/I52</f>
        <v>#DIV/0!</v>
      </c>
      <c r="N52" s="278">
        <v>0</v>
      </c>
      <c r="O52" s="278">
        <f t="shared" si="7"/>
        <v>0</v>
      </c>
      <c r="P52" s="291" t="e">
        <f t="shared" si="1"/>
        <v>#DIV/0!</v>
      </c>
      <c r="Q52" s="335">
        <v>0</v>
      </c>
      <c r="R52" s="333">
        <f>H52-Q52</f>
        <v>0</v>
      </c>
      <c r="T52" s="279">
        <v>0</v>
      </c>
      <c r="U52" s="67"/>
    </row>
    <row r="53" spans="1:21" ht="25.5">
      <c r="A53" s="75">
        <v>620</v>
      </c>
      <c r="B53" s="74">
        <v>300</v>
      </c>
      <c r="C53" s="74"/>
      <c r="D53" s="74"/>
      <c r="E53" s="74"/>
      <c r="F53" s="74"/>
      <c r="G53" s="65" t="s">
        <v>423</v>
      </c>
      <c r="H53" s="335">
        <v>3574644</v>
      </c>
      <c r="I53" s="333">
        <f>3235116-2845470-389646</f>
        <v>0</v>
      </c>
      <c r="J53" s="147" t="s">
        <v>21</v>
      </c>
      <c r="K53" s="296"/>
      <c r="L53" s="278">
        <f t="shared" si="0"/>
        <v>3574644</v>
      </c>
      <c r="M53" s="291" t="e">
        <f>L53/I53</f>
        <v>#DIV/0!</v>
      </c>
      <c r="N53" s="278">
        <f>(5082548+684236)-N54-N52-N51</f>
        <v>1524764</v>
      </c>
      <c r="O53" s="278">
        <f t="shared" si="7"/>
        <v>2049880</v>
      </c>
      <c r="P53" s="291">
        <f t="shared" si="1"/>
        <v>1.3444</v>
      </c>
      <c r="Q53" s="335">
        <v>622658</v>
      </c>
      <c r="R53" s="333">
        <f>H53-Q53</f>
        <v>2951986</v>
      </c>
      <c r="T53" s="279">
        <v>3235116</v>
      </c>
      <c r="U53" s="67" t="s">
        <v>657</v>
      </c>
    </row>
    <row r="54" spans="1:21" ht="25.5">
      <c r="A54" s="75">
        <v>620</v>
      </c>
      <c r="B54" s="74">
        <v>400</v>
      </c>
      <c r="C54" s="74"/>
      <c r="D54" s="74"/>
      <c r="E54" s="74"/>
      <c r="F54" s="74"/>
      <c r="G54" s="65" t="s">
        <v>424</v>
      </c>
      <c r="H54" s="335">
        <v>1014849</v>
      </c>
      <c r="I54" s="333">
        <f>2445225-2445225</f>
        <v>0</v>
      </c>
      <c r="J54" s="147" t="s">
        <v>22</v>
      </c>
      <c r="K54" s="296"/>
      <c r="L54" s="278">
        <f t="shared" si="0"/>
        <v>1014849</v>
      </c>
      <c r="M54" s="291" t="e">
        <f>L54/I54</f>
        <v>#DIV/0!</v>
      </c>
      <c r="N54" s="278">
        <f>ROUND((3557783.54+684236),0)</f>
        <v>4242020</v>
      </c>
      <c r="O54" s="278">
        <f t="shared" si="7"/>
        <v>-3227171</v>
      </c>
      <c r="P54" s="291">
        <f t="shared" si="1"/>
        <v>-0.7608</v>
      </c>
      <c r="Q54" s="335">
        <v>5276569</v>
      </c>
      <c r="R54" s="333">
        <f>H54-Q54</f>
        <v>-4261720</v>
      </c>
      <c r="T54" s="279">
        <v>2445225</v>
      </c>
      <c r="U54" s="67" t="s">
        <v>653</v>
      </c>
    </row>
    <row r="55" spans="1:21" s="50" customFormat="1" ht="25.5">
      <c r="A55" s="71">
        <v>630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140" t="s">
        <v>273</v>
      </c>
      <c r="H55" s="336"/>
      <c r="I55" s="336"/>
      <c r="J55" s="141"/>
      <c r="K55" s="295"/>
      <c r="L55" s="273"/>
      <c r="M55" s="273"/>
      <c r="N55" s="273"/>
      <c r="O55" s="273"/>
      <c r="P55" s="273"/>
      <c r="Q55" s="336"/>
      <c r="R55" s="292"/>
      <c r="T55" s="273"/>
      <c r="U55" s="49"/>
    </row>
    <row r="56" spans="1:20" ht="25.5">
      <c r="A56" s="75">
        <v>630</v>
      </c>
      <c r="B56" s="73">
        <v>100</v>
      </c>
      <c r="C56" s="73"/>
      <c r="D56" s="73"/>
      <c r="E56" s="73"/>
      <c r="F56" s="73"/>
      <c r="G56" s="66" t="s">
        <v>425</v>
      </c>
      <c r="H56" s="334"/>
      <c r="I56" s="334"/>
      <c r="J56" s="147"/>
      <c r="K56" s="296"/>
      <c r="L56" s="272"/>
      <c r="M56" s="149"/>
      <c r="N56" s="272"/>
      <c r="O56" s="272"/>
      <c r="P56" s="272"/>
      <c r="Q56" s="334"/>
      <c r="R56" s="292"/>
      <c r="T56" s="272"/>
    </row>
    <row r="57" spans="1:20" ht="25.5">
      <c r="A57" s="75">
        <v>630</v>
      </c>
      <c r="B57" s="73">
        <v>100</v>
      </c>
      <c r="C57" s="73">
        <v>100</v>
      </c>
      <c r="D57" s="73"/>
      <c r="E57" s="73"/>
      <c r="F57" s="73"/>
      <c r="G57" s="66" t="s">
        <v>426</v>
      </c>
      <c r="H57" s="334"/>
      <c r="I57" s="334"/>
      <c r="J57" s="147"/>
      <c r="K57" s="296"/>
      <c r="L57" s="272"/>
      <c r="M57" s="149"/>
      <c r="N57" s="272"/>
      <c r="O57" s="272"/>
      <c r="P57" s="272"/>
      <c r="Q57" s="334"/>
      <c r="R57" s="292"/>
      <c r="T57" s="272"/>
    </row>
    <row r="58" spans="1:20" ht="15">
      <c r="A58" s="75">
        <v>630</v>
      </c>
      <c r="B58" s="73">
        <v>100</v>
      </c>
      <c r="C58" s="73">
        <v>100</v>
      </c>
      <c r="D58" s="73">
        <v>100</v>
      </c>
      <c r="E58" s="73"/>
      <c r="F58" s="73"/>
      <c r="G58" s="66" t="s">
        <v>427</v>
      </c>
      <c r="H58" s="334"/>
      <c r="I58" s="334"/>
      <c r="J58" s="147" t="s">
        <v>23</v>
      </c>
      <c r="K58" s="296"/>
      <c r="L58" s="272"/>
      <c r="M58" s="149"/>
      <c r="N58" s="272"/>
      <c r="O58" s="272"/>
      <c r="P58" s="272"/>
      <c r="Q58" s="334"/>
      <c r="R58" s="292"/>
      <c r="T58" s="272"/>
    </row>
    <row r="59" spans="1:20" ht="15">
      <c r="A59" s="75">
        <v>630</v>
      </c>
      <c r="B59" s="73">
        <v>100</v>
      </c>
      <c r="C59" s="73">
        <v>100</v>
      </c>
      <c r="D59" s="73">
        <v>100</v>
      </c>
      <c r="E59" s="77">
        <v>10</v>
      </c>
      <c r="F59" s="77"/>
      <c r="G59" s="65" t="s">
        <v>428</v>
      </c>
      <c r="H59" s="333">
        <v>12749713</v>
      </c>
      <c r="I59" s="333">
        <v>11517922</v>
      </c>
      <c r="J59" s="51"/>
      <c r="K59" s="64"/>
      <c r="L59" s="278">
        <f aca="true" t="shared" si="8" ref="L59:L69">H59-I59</f>
        <v>1231791</v>
      </c>
      <c r="M59" s="291">
        <f>L59/I59</f>
        <v>0.1069</v>
      </c>
      <c r="N59" s="279">
        <v>10969929</v>
      </c>
      <c r="O59" s="278">
        <f aca="true" t="shared" si="9" ref="O59:O69">H59-N59</f>
        <v>1779784</v>
      </c>
      <c r="P59" s="291">
        <f aca="true" t="shared" si="10" ref="P59:P69">O59/N59</f>
        <v>0.1622</v>
      </c>
      <c r="Q59" s="333">
        <v>12662515</v>
      </c>
      <c r="R59" s="333">
        <f>H59-Q59</f>
        <v>87198</v>
      </c>
      <c r="T59" s="279">
        <v>11517922</v>
      </c>
    </row>
    <row r="60" spans="1:20" ht="15">
      <c r="A60" s="75">
        <v>630</v>
      </c>
      <c r="B60" s="73">
        <v>100</v>
      </c>
      <c r="C60" s="73">
        <v>100</v>
      </c>
      <c r="D60" s="73">
        <v>100</v>
      </c>
      <c r="E60" s="77">
        <v>20</v>
      </c>
      <c r="F60" s="77"/>
      <c r="G60" s="65" t="s">
        <v>429</v>
      </c>
      <c r="H60" s="335">
        <v>347</v>
      </c>
      <c r="I60" s="333">
        <v>0</v>
      </c>
      <c r="J60" s="51"/>
      <c r="K60" s="64"/>
      <c r="L60" s="278">
        <f t="shared" si="8"/>
        <v>347</v>
      </c>
      <c r="M60" s="291" t="e">
        <f>L60/I60</f>
        <v>#DIV/0!</v>
      </c>
      <c r="N60" s="278">
        <v>0</v>
      </c>
      <c r="O60" s="278">
        <f t="shared" si="9"/>
        <v>347</v>
      </c>
      <c r="P60" s="291" t="e">
        <f t="shared" si="10"/>
        <v>#DIV/0!</v>
      </c>
      <c r="Q60" s="335">
        <v>0</v>
      </c>
      <c r="R60" s="333">
        <f>H60-Q60</f>
        <v>347</v>
      </c>
      <c r="T60" s="279">
        <v>0</v>
      </c>
    </row>
    <row r="61" spans="1:20" ht="15">
      <c r="A61" s="75">
        <v>630</v>
      </c>
      <c r="B61" s="73">
        <v>100</v>
      </c>
      <c r="C61" s="73">
        <v>100</v>
      </c>
      <c r="D61" s="73">
        <v>200</v>
      </c>
      <c r="E61" s="73"/>
      <c r="F61" s="73"/>
      <c r="G61" s="66" t="s">
        <v>430</v>
      </c>
      <c r="H61" s="337"/>
      <c r="I61" s="337"/>
      <c r="J61" s="147" t="s">
        <v>24</v>
      </c>
      <c r="K61" s="296"/>
      <c r="L61" s="272"/>
      <c r="M61" s="272"/>
      <c r="N61" s="272"/>
      <c r="O61" s="272"/>
      <c r="P61" s="272"/>
      <c r="Q61" s="337"/>
      <c r="R61" s="292"/>
      <c r="T61" s="149"/>
    </row>
    <row r="62" spans="1:20" ht="15">
      <c r="A62" s="75">
        <v>630</v>
      </c>
      <c r="B62" s="73">
        <v>100</v>
      </c>
      <c r="C62" s="73">
        <v>100</v>
      </c>
      <c r="D62" s="73">
        <v>200</v>
      </c>
      <c r="E62" s="77">
        <v>10</v>
      </c>
      <c r="F62" s="77"/>
      <c r="G62" s="65" t="s">
        <v>431</v>
      </c>
      <c r="H62" s="333">
        <v>11529917</v>
      </c>
      <c r="I62" s="333">
        <v>10957028</v>
      </c>
      <c r="J62" s="51"/>
      <c r="K62" s="64"/>
      <c r="L62" s="278">
        <f t="shared" si="8"/>
        <v>572889</v>
      </c>
      <c r="M62" s="291">
        <f aca="true" t="shared" si="11" ref="M62:M69">L62/I62</f>
        <v>0.0523</v>
      </c>
      <c r="N62" s="279">
        <v>10420945</v>
      </c>
      <c r="O62" s="278">
        <f t="shared" si="9"/>
        <v>1108972</v>
      </c>
      <c r="P62" s="291">
        <f t="shared" si="10"/>
        <v>0.1064</v>
      </c>
      <c r="Q62" s="333">
        <v>11067889</v>
      </c>
      <c r="R62" s="333">
        <f aca="true" t="shared" si="12" ref="R62:R69">H62-Q62</f>
        <v>462028</v>
      </c>
      <c r="T62" s="279">
        <v>10957028</v>
      </c>
    </row>
    <row r="63" spans="1:20" ht="15">
      <c r="A63" s="75">
        <v>630</v>
      </c>
      <c r="B63" s="73">
        <v>100</v>
      </c>
      <c r="C63" s="73">
        <v>100</v>
      </c>
      <c r="D63" s="73">
        <v>200</v>
      </c>
      <c r="E63" s="77">
        <v>20</v>
      </c>
      <c r="F63" s="77"/>
      <c r="G63" s="65" t="s">
        <v>432</v>
      </c>
      <c r="H63" s="333">
        <v>469894</v>
      </c>
      <c r="I63" s="333">
        <v>321470</v>
      </c>
      <c r="J63" s="51"/>
      <c r="K63" s="64"/>
      <c r="L63" s="278">
        <f t="shared" si="8"/>
        <v>148424</v>
      </c>
      <c r="M63" s="291">
        <f t="shared" si="11"/>
        <v>0.4617</v>
      </c>
      <c r="N63" s="279">
        <f>250000-(1400+1000+71400)</f>
        <v>176200</v>
      </c>
      <c r="O63" s="278">
        <f t="shared" si="9"/>
        <v>293694</v>
      </c>
      <c r="P63" s="291">
        <f t="shared" si="10"/>
        <v>1.6668</v>
      </c>
      <c r="Q63" s="333">
        <v>176200</v>
      </c>
      <c r="R63" s="333">
        <f t="shared" si="12"/>
        <v>293694</v>
      </c>
      <c r="T63" s="279">
        <v>321470</v>
      </c>
    </row>
    <row r="64" spans="1:20" ht="15">
      <c r="A64" s="75">
        <v>630</v>
      </c>
      <c r="B64" s="73">
        <v>100</v>
      </c>
      <c r="C64" s="73">
        <v>100</v>
      </c>
      <c r="D64" s="74">
        <v>300</v>
      </c>
      <c r="E64" s="74"/>
      <c r="F64" s="74"/>
      <c r="G64" s="65" t="s">
        <v>433</v>
      </c>
      <c r="H64" s="333">
        <v>0</v>
      </c>
      <c r="I64" s="333">
        <v>0</v>
      </c>
      <c r="J64" s="147" t="s">
        <v>25</v>
      </c>
      <c r="K64" s="296"/>
      <c r="L64" s="278">
        <f t="shared" si="8"/>
        <v>0</v>
      </c>
      <c r="M64" s="291" t="e">
        <f t="shared" si="11"/>
        <v>#DIV/0!</v>
      </c>
      <c r="N64" s="278">
        <v>0</v>
      </c>
      <c r="O64" s="278">
        <f t="shared" si="9"/>
        <v>0</v>
      </c>
      <c r="P64" s="291" t="e">
        <f t="shared" si="10"/>
        <v>#DIV/0!</v>
      </c>
      <c r="Q64" s="335">
        <v>0</v>
      </c>
      <c r="R64" s="333">
        <f t="shared" si="12"/>
        <v>0</v>
      </c>
      <c r="T64" s="279">
        <v>0</v>
      </c>
    </row>
    <row r="65" spans="1:20" ht="15">
      <c r="A65" s="75">
        <v>630</v>
      </c>
      <c r="B65" s="73">
        <v>100</v>
      </c>
      <c r="C65" s="73">
        <v>100</v>
      </c>
      <c r="D65" s="74">
        <v>400</v>
      </c>
      <c r="E65" s="74"/>
      <c r="F65" s="74"/>
      <c r="G65" s="65" t="s">
        <v>434</v>
      </c>
      <c r="H65" s="333">
        <v>4064847</v>
      </c>
      <c r="I65" s="333">
        <v>649598</v>
      </c>
      <c r="J65" s="147" t="s">
        <v>26</v>
      </c>
      <c r="K65" s="296"/>
      <c r="L65" s="278">
        <f t="shared" si="8"/>
        <v>3415249</v>
      </c>
      <c r="M65" s="291">
        <f t="shared" si="11"/>
        <v>5.2575</v>
      </c>
      <c r="N65" s="278">
        <v>4131601</v>
      </c>
      <c r="O65" s="278">
        <f t="shared" si="9"/>
        <v>-66754</v>
      </c>
      <c r="P65" s="291">
        <f t="shared" si="10"/>
        <v>-0.0162</v>
      </c>
      <c r="Q65" s="335">
        <v>4064847</v>
      </c>
      <c r="R65" s="333">
        <f t="shared" si="12"/>
        <v>0</v>
      </c>
      <c r="T65" s="279">
        <v>649598</v>
      </c>
    </row>
    <row r="66" spans="1:20" ht="15">
      <c r="A66" s="75">
        <v>630</v>
      </c>
      <c r="B66" s="73">
        <v>100</v>
      </c>
      <c r="C66" s="73">
        <v>100</v>
      </c>
      <c r="D66" s="74">
        <v>500</v>
      </c>
      <c r="E66" s="74"/>
      <c r="F66" s="74"/>
      <c r="G66" s="65" t="s">
        <v>435</v>
      </c>
      <c r="H66" s="333">
        <v>0</v>
      </c>
      <c r="I66" s="333">
        <v>0</v>
      </c>
      <c r="J66" s="147" t="s">
        <v>27</v>
      </c>
      <c r="K66" s="296"/>
      <c r="L66" s="278">
        <f t="shared" si="8"/>
        <v>0</v>
      </c>
      <c r="M66" s="291" t="e">
        <f t="shared" si="11"/>
        <v>#DIV/0!</v>
      </c>
      <c r="N66" s="278">
        <v>0</v>
      </c>
      <c r="O66" s="278">
        <f t="shared" si="9"/>
        <v>0</v>
      </c>
      <c r="P66" s="291" t="e">
        <f t="shared" si="10"/>
        <v>#DIV/0!</v>
      </c>
      <c r="Q66" s="335">
        <v>0</v>
      </c>
      <c r="R66" s="333">
        <f t="shared" si="12"/>
        <v>0</v>
      </c>
      <c r="T66" s="279">
        <v>0</v>
      </c>
    </row>
    <row r="67" spans="1:20" ht="15">
      <c r="A67" s="75">
        <v>630</v>
      </c>
      <c r="B67" s="73">
        <v>100</v>
      </c>
      <c r="C67" s="73">
        <v>100</v>
      </c>
      <c r="D67" s="74">
        <v>600</v>
      </c>
      <c r="E67" s="74"/>
      <c r="F67" s="74"/>
      <c r="G67" s="65" t="s">
        <v>436</v>
      </c>
      <c r="H67" s="333">
        <v>0</v>
      </c>
      <c r="I67" s="333">
        <v>0</v>
      </c>
      <c r="J67" s="147" t="s">
        <v>28</v>
      </c>
      <c r="K67" s="296"/>
      <c r="L67" s="278">
        <f t="shared" si="8"/>
        <v>0</v>
      </c>
      <c r="M67" s="291" t="e">
        <f t="shared" si="11"/>
        <v>#DIV/0!</v>
      </c>
      <c r="N67" s="278">
        <v>0</v>
      </c>
      <c r="O67" s="278">
        <f t="shared" si="9"/>
        <v>0</v>
      </c>
      <c r="P67" s="291" t="e">
        <f t="shared" si="10"/>
        <v>#DIV/0!</v>
      </c>
      <c r="Q67" s="335">
        <v>0</v>
      </c>
      <c r="R67" s="333">
        <f t="shared" si="12"/>
        <v>0</v>
      </c>
      <c r="T67" s="279">
        <v>0</v>
      </c>
    </row>
    <row r="68" spans="1:20" ht="15">
      <c r="A68" s="75">
        <v>630</v>
      </c>
      <c r="B68" s="73">
        <v>100</v>
      </c>
      <c r="C68" s="73">
        <v>100</v>
      </c>
      <c r="D68" s="74">
        <v>700</v>
      </c>
      <c r="E68" s="74"/>
      <c r="F68" s="74"/>
      <c r="G68" s="65" t="s">
        <v>437</v>
      </c>
      <c r="H68" s="333">
        <v>0</v>
      </c>
      <c r="I68" s="333">
        <v>0</v>
      </c>
      <c r="J68" s="147" t="s">
        <v>29</v>
      </c>
      <c r="K68" s="296"/>
      <c r="L68" s="278">
        <f t="shared" si="8"/>
        <v>0</v>
      </c>
      <c r="M68" s="291" t="e">
        <f t="shared" si="11"/>
        <v>#DIV/0!</v>
      </c>
      <c r="N68" s="278">
        <v>0</v>
      </c>
      <c r="O68" s="278">
        <f t="shared" si="9"/>
        <v>0</v>
      </c>
      <c r="P68" s="291" t="e">
        <f t="shared" si="10"/>
        <v>#DIV/0!</v>
      </c>
      <c r="Q68" s="335">
        <v>0</v>
      </c>
      <c r="R68" s="333">
        <f t="shared" si="12"/>
        <v>0</v>
      </c>
      <c r="T68" s="279">
        <v>0</v>
      </c>
    </row>
    <row r="69" spans="1:20" ht="15">
      <c r="A69" s="75">
        <v>630</v>
      </c>
      <c r="B69" s="73">
        <v>100</v>
      </c>
      <c r="C69" s="73">
        <v>100</v>
      </c>
      <c r="D69" s="74">
        <v>800</v>
      </c>
      <c r="E69" s="74"/>
      <c r="F69" s="74"/>
      <c r="G69" s="65" t="s">
        <v>438</v>
      </c>
      <c r="H69" s="333">
        <v>0</v>
      </c>
      <c r="I69" s="333">
        <v>0</v>
      </c>
      <c r="J69" s="147" t="s">
        <v>30</v>
      </c>
      <c r="K69" s="296"/>
      <c r="L69" s="278">
        <f t="shared" si="8"/>
        <v>0</v>
      </c>
      <c r="M69" s="291" t="e">
        <f t="shared" si="11"/>
        <v>#DIV/0!</v>
      </c>
      <c r="N69" s="278">
        <v>0</v>
      </c>
      <c r="O69" s="278">
        <f t="shared" si="9"/>
        <v>0</v>
      </c>
      <c r="P69" s="291" t="e">
        <f t="shared" si="10"/>
        <v>#DIV/0!</v>
      </c>
      <c r="Q69" s="335">
        <v>0</v>
      </c>
      <c r="R69" s="333">
        <f t="shared" si="12"/>
        <v>0</v>
      </c>
      <c r="T69" s="279">
        <v>0</v>
      </c>
    </row>
    <row r="70" spans="1:20" ht="15">
      <c r="A70" s="75">
        <v>630</v>
      </c>
      <c r="B70" s="73">
        <v>100</v>
      </c>
      <c r="C70" s="73">
        <v>100</v>
      </c>
      <c r="D70" s="73">
        <v>900</v>
      </c>
      <c r="E70" s="73"/>
      <c r="F70" s="73"/>
      <c r="G70" s="66" t="s">
        <v>439</v>
      </c>
      <c r="H70" s="337"/>
      <c r="I70" s="337"/>
      <c r="J70" s="147" t="s">
        <v>31</v>
      </c>
      <c r="K70" s="296"/>
      <c r="L70" s="272"/>
      <c r="M70" s="149"/>
      <c r="N70" s="149"/>
      <c r="O70" s="272"/>
      <c r="P70" s="272"/>
      <c r="Q70" s="334"/>
      <c r="R70" s="292"/>
      <c r="T70" s="149"/>
    </row>
    <row r="71" spans="1:20" ht="15">
      <c r="A71" s="75">
        <v>630</v>
      </c>
      <c r="B71" s="73">
        <v>100</v>
      </c>
      <c r="C71" s="73">
        <v>100</v>
      </c>
      <c r="D71" s="73">
        <v>900</v>
      </c>
      <c r="E71" s="77">
        <v>10</v>
      </c>
      <c r="F71" s="77"/>
      <c r="G71" s="65" t="s">
        <v>440</v>
      </c>
      <c r="H71" s="333">
        <v>0</v>
      </c>
      <c r="I71" s="333">
        <v>0</v>
      </c>
      <c r="J71" s="51"/>
      <c r="K71" s="64"/>
      <c r="L71" s="278">
        <f aca="true" t="shared" si="13" ref="L71:L83">H71-I71</f>
        <v>0</v>
      </c>
      <c r="M71" s="291" t="e">
        <f>L71/I71</f>
        <v>#DIV/0!</v>
      </c>
      <c r="N71" s="279">
        <v>0</v>
      </c>
      <c r="O71" s="278">
        <f aca="true" t="shared" si="14" ref="O71:O82">H71-N71</f>
        <v>0</v>
      </c>
      <c r="P71" s="291" t="e">
        <f aca="true" t="shared" si="15" ref="P71:P109">O71/N71</f>
        <v>#DIV/0!</v>
      </c>
      <c r="Q71" s="333">
        <v>0</v>
      </c>
      <c r="R71" s="333">
        <f>H71-Q71</f>
        <v>0</v>
      </c>
      <c r="T71" s="279">
        <v>0</v>
      </c>
    </row>
    <row r="72" spans="1:20" ht="15">
      <c r="A72" s="75">
        <v>630</v>
      </c>
      <c r="B72" s="73">
        <v>100</v>
      </c>
      <c r="C72" s="73">
        <v>100</v>
      </c>
      <c r="D72" s="73">
        <v>900</v>
      </c>
      <c r="E72" s="77">
        <v>90</v>
      </c>
      <c r="F72" s="77"/>
      <c r="G72" s="65" t="s">
        <v>439</v>
      </c>
      <c r="H72" s="333">
        <v>0</v>
      </c>
      <c r="I72" s="333">
        <v>0</v>
      </c>
      <c r="J72" s="51"/>
      <c r="K72" s="64"/>
      <c r="L72" s="278">
        <f t="shared" si="13"/>
        <v>0</v>
      </c>
      <c r="M72" s="291" t="e">
        <f>L72/I72</f>
        <v>#DIV/0!</v>
      </c>
      <c r="N72" s="279">
        <v>0</v>
      </c>
      <c r="O72" s="278">
        <f t="shared" si="14"/>
        <v>0</v>
      </c>
      <c r="P72" s="291" t="e">
        <f t="shared" si="15"/>
        <v>#DIV/0!</v>
      </c>
      <c r="Q72" s="333">
        <v>0</v>
      </c>
      <c r="R72" s="333">
        <f>H72-Q72</f>
        <v>0</v>
      </c>
      <c r="T72" s="279">
        <v>0</v>
      </c>
    </row>
    <row r="73" spans="1:20" ht="25.5">
      <c r="A73" s="75">
        <v>630</v>
      </c>
      <c r="B73" s="73">
        <v>100</v>
      </c>
      <c r="C73" s="74">
        <v>200</v>
      </c>
      <c r="D73" s="74"/>
      <c r="E73" s="74"/>
      <c r="F73" s="74"/>
      <c r="G73" s="65" t="s">
        <v>441</v>
      </c>
      <c r="H73" s="335">
        <v>0</v>
      </c>
      <c r="I73" s="333">
        <v>0</v>
      </c>
      <c r="J73" s="147" t="s">
        <v>32</v>
      </c>
      <c r="K73" s="296"/>
      <c r="L73" s="278">
        <f t="shared" si="13"/>
        <v>0</v>
      </c>
      <c r="M73" s="291" t="e">
        <f>L73/I73</f>
        <v>#DIV/0!</v>
      </c>
      <c r="N73" s="278">
        <v>0</v>
      </c>
      <c r="O73" s="278">
        <f t="shared" si="14"/>
        <v>0</v>
      </c>
      <c r="P73" s="291" t="e">
        <f t="shared" si="15"/>
        <v>#DIV/0!</v>
      </c>
      <c r="Q73" s="335">
        <v>0</v>
      </c>
      <c r="R73" s="333">
        <f>H73-Q73</f>
        <v>0</v>
      </c>
      <c r="T73" s="279">
        <v>0</v>
      </c>
    </row>
    <row r="74" spans="1:20" ht="25.5">
      <c r="A74" s="75">
        <v>630</v>
      </c>
      <c r="B74" s="73">
        <v>100</v>
      </c>
      <c r="C74" s="73">
        <v>300</v>
      </c>
      <c r="D74" s="73"/>
      <c r="E74" s="73"/>
      <c r="F74" s="73"/>
      <c r="G74" s="66" t="s">
        <v>442</v>
      </c>
      <c r="H74" s="334"/>
      <c r="I74" s="337"/>
      <c r="J74" s="147"/>
      <c r="K74" s="296"/>
      <c r="L74" s="272"/>
      <c r="M74" s="272"/>
      <c r="N74" s="272"/>
      <c r="O74" s="272"/>
      <c r="P74" s="272"/>
      <c r="Q74" s="334"/>
      <c r="R74" s="292"/>
      <c r="T74" s="149"/>
    </row>
    <row r="75" spans="1:20" ht="15">
      <c r="A75" s="75">
        <v>630</v>
      </c>
      <c r="B75" s="73">
        <v>100</v>
      </c>
      <c r="C75" s="73">
        <v>300</v>
      </c>
      <c r="D75" s="73">
        <v>100</v>
      </c>
      <c r="E75" s="73"/>
      <c r="F75" s="73"/>
      <c r="G75" s="66" t="s">
        <v>427</v>
      </c>
      <c r="H75" s="334"/>
      <c r="I75" s="337"/>
      <c r="J75" s="147" t="s">
        <v>33</v>
      </c>
      <c r="K75" s="296"/>
      <c r="L75" s="272"/>
      <c r="M75" s="272"/>
      <c r="N75" s="272"/>
      <c r="O75" s="272"/>
      <c r="P75" s="272"/>
      <c r="Q75" s="334"/>
      <c r="R75" s="292"/>
      <c r="T75" s="149"/>
    </row>
    <row r="76" spans="1:20" ht="15">
      <c r="A76" s="75">
        <v>630</v>
      </c>
      <c r="B76" s="73">
        <v>100</v>
      </c>
      <c r="C76" s="73">
        <v>300</v>
      </c>
      <c r="D76" s="73">
        <v>100</v>
      </c>
      <c r="E76" s="77">
        <v>10</v>
      </c>
      <c r="F76" s="77"/>
      <c r="G76" s="65" t="s">
        <v>443</v>
      </c>
      <c r="H76" s="333">
        <v>12129100</v>
      </c>
      <c r="I76" s="333">
        <v>12989367</v>
      </c>
      <c r="J76" s="51"/>
      <c r="K76" s="64"/>
      <c r="L76" s="278">
        <f t="shared" si="13"/>
        <v>-860267</v>
      </c>
      <c r="M76" s="291">
        <f>L76/I76</f>
        <v>-0.0662</v>
      </c>
      <c r="N76" s="279">
        <v>12129100</v>
      </c>
      <c r="O76" s="278">
        <f t="shared" si="14"/>
        <v>0</v>
      </c>
      <c r="P76" s="291">
        <f t="shared" si="15"/>
        <v>0</v>
      </c>
      <c r="Q76" s="333">
        <v>12129100</v>
      </c>
      <c r="R76" s="333">
        <f>H76-Q76</f>
        <v>0</v>
      </c>
      <c r="T76" s="279">
        <v>12989367</v>
      </c>
    </row>
    <row r="77" spans="1:20" ht="15">
      <c r="A77" s="75">
        <v>630</v>
      </c>
      <c r="B77" s="73">
        <v>100</v>
      </c>
      <c r="C77" s="73">
        <v>300</v>
      </c>
      <c r="D77" s="73">
        <v>100</v>
      </c>
      <c r="E77" s="77">
        <v>20</v>
      </c>
      <c r="F77" s="77"/>
      <c r="G77" s="65" t="s">
        <v>429</v>
      </c>
      <c r="H77" s="333">
        <v>0</v>
      </c>
      <c r="I77" s="333">
        <v>0</v>
      </c>
      <c r="J77" s="51"/>
      <c r="K77" s="64"/>
      <c r="L77" s="278">
        <f t="shared" si="13"/>
        <v>0</v>
      </c>
      <c r="M77" s="291" t="e">
        <f>L77/I77</f>
        <v>#DIV/0!</v>
      </c>
      <c r="N77" s="279">
        <v>0</v>
      </c>
      <c r="O77" s="278">
        <f t="shared" si="14"/>
        <v>0</v>
      </c>
      <c r="P77" s="291" t="e">
        <f t="shared" si="15"/>
        <v>#DIV/0!</v>
      </c>
      <c r="Q77" s="333">
        <v>0</v>
      </c>
      <c r="R77" s="333">
        <f>H77-Q77</f>
        <v>0</v>
      </c>
      <c r="T77" s="279">
        <v>0</v>
      </c>
    </row>
    <row r="78" spans="1:20" ht="15">
      <c r="A78" s="75">
        <v>630</v>
      </c>
      <c r="B78" s="73">
        <v>100</v>
      </c>
      <c r="C78" s="73">
        <v>300</v>
      </c>
      <c r="D78" s="73">
        <v>150</v>
      </c>
      <c r="E78" s="73"/>
      <c r="F78" s="73"/>
      <c r="G78" s="66" t="s">
        <v>444</v>
      </c>
      <c r="H78" s="337"/>
      <c r="I78" s="334"/>
      <c r="J78" s="147" t="s">
        <v>34</v>
      </c>
      <c r="K78" s="296"/>
      <c r="L78" s="272"/>
      <c r="M78" s="272"/>
      <c r="N78" s="272"/>
      <c r="O78" s="272"/>
      <c r="P78" s="272"/>
      <c r="Q78" s="337"/>
      <c r="R78" s="292"/>
      <c r="T78" s="272"/>
    </row>
    <row r="79" spans="1:20" ht="25.5">
      <c r="A79" s="75">
        <v>630</v>
      </c>
      <c r="B79" s="73">
        <v>100</v>
      </c>
      <c r="C79" s="73">
        <v>300</v>
      </c>
      <c r="D79" s="73">
        <v>150</v>
      </c>
      <c r="E79" s="77">
        <v>100</v>
      </c>
      <c r="F79" s="77"/>
      <c r="G79" s="65" t="s">
        <v>445</v>
      </c>
      <c r="H79" s="333">
        <v>8935658</v>
      </c>
      <c r="I79" s="333">
        <v>8286118</v>
      </c>
      <c r="J79" s="51"/>
      <c r="K79" s="64"/>
      <c r="L79" s="278">
        <f t="shared" si="13"/>
        <v>649540</v>
      </c>
      <c r="M79" s="291">
        <f aca="true" t="shared" si="16" ref="M79:M89">L79/I79</f>
        <v>0.0784</v>
      </c>
      <c r="N79" s="279">
        <v>8935658</v>
      </c>
      <c r="O79" s="278">
        <f t="shared" si="14"/>
        <v>0</v>
      </c>
      <c r="P79" s="291">
        <f t="shared" si="15"/>
        <v>0</v>
      </c>
      <c r="Q79" s="333">
        <v>8935658</v>
      </c>
      <c r="R79" s="333">
        <f aca="true" t="shared" si="17" ref="R79:R89">H79-Q79</f>
        <v>0</v>
      </c>
      <c r="T79" s="279">
        <v>8286118</v>
      </c>
    </row>
    <row r="80" spans="1:21" ht="15">
      <c r="A80" s="75">
        <v>630</v>
      </c>
      <c r="B80" s="73">
        <v>100</v>
      </c>
      <c r="C80" s="73">
        <v>300</v>
      </c>
      <c r="D80" s="73">
        <v>150</v>
      </c>
      <c r="E80" s="77">
        <v>200</v>
      </c>
      <c r="F80" s="77"/>
      <c r="G80" s="65" t="s">
        <v>432</v>
      </c>
      <c r="H80" s="333">
        <v>39216</v>
      </c>
      <c r="I80" s="333">
        <f>29473-29473</f>
        <v>0</v>
      </c>
      <c r="J80" s="51"/>
      <c r="K80" s="64"/>
      <c r="L80" s="278">
        <f t="shared" si="13"/>
        <v>39216</v>
      </c>
      <c r="M80" s="291" t="e">
        <f t="shared" si="16"/>
        <v>#DIV/0!</v>
      </c>
      <c r="N80" s="279">
        <v>15000</v>
      </c>
      <c r="O80" s="278">
        <f t="shared" si="14"/>
        <v>24216</v>
      </c>
      <c r="P80" s="291">
        <f t="shared" si="15"/>
        <v>1.6144</v>
      </c>
      <c r="Q80" s="333">
        <v>15000</v>
      </c>
      <c r="R80" s="333">
        <f t="shared" si="17"/>
        <v>24216</v>
      </c>
      <c r="T80" s="279">
        <v>29473</v>
      </c>
      <c r="U80" s="67" t="s">
        <v>658</v>
      </c>
    </row>
    <row r="81" spans="1:21" ht="25.5">
      <c r="A81" s="75">
        <v>630</v>
      </c>
      <c r="B81" s="73">
        <v>100</v>
      </c>
      <c r="C81" s="73">
        <v>300</v>
      </c>
      <c r="D81" s="74">
        <v>200</v>
      </c>
      <c r="E81" s="74"/>
      <c r="F81" s="74"/>
      <c r="G81" s="65" t="s">
        <v>446</v>
      </c>
      <c r="H81" s="335">
        <v>0</v>
      </c>
      <c r="I81" s="333">
        <v>0</v>
      </c>
      <c r="J81" s="147" t="s">
        <v>35</v>
      </c>
      <c r="K81" s="296"/>
      <c r="L81" s="278">
        <f t="shared" si="13"/>
        <v>0</v>
      </c>
      <c r="M81" s="291" t="e">
        <f t="shared" si="16"/>
        <v>#DIV/0!</v>
      </c>
      <c r="N81" s="278">
        <v>0</v>
      </c>
      <c r="O81" s="278">
        <f t="shared" si="14"/>
        <v>0</v>
      </c>
      <c r="P81" s="291" t="e">
        <f t="shared" si="15"/>
        <v>#DIV/0!</v>
      </c>
      <c r="Q81" s="335">
        <v>0</v>
      </c>
      <c r="R81" s="333">
        <f t="shared" si="17"/>
        <v>0</v>
      </c>
      <c r="T81" s="279">
        <v>0</v>
      </c>
      <c r="U81" s="67"/>
    </row>
    <row r="82" spans="1:21" ht="15">
      <c r="A82" s="75">
        <v>630</v>
      </c>
      <c r="B82" s="73">
        <v>100</v>
      </c>
      <c r="C82" s="73">
        <v>300</v>
      </c>
      <c r="D82" s="74">
        <v>250</v>
      </c>
      <c r="E82" s="74"/>
      <c r="F82" s="74"/>
      <c r="G82" s="65" t="s">
        <v>434</v>
      </c>
      <c r="H82" s="333">
        <v>7315220</v>
      </c>
      <c r="I82" s="333">
        <v>6474559</v>
      </c>
      <c r="J82" s="147" t="s">
        <v>36</v>
      </c>
      <c r="K82" s="296"/>
      <c r="L82" s="278">
        <f t="shared" si="13"/>
        <v>840661</v>
      </c>
      <c r="M82" s="291">
        <f t="shared" si="16"/>
        <v>0.1298</v>
      </c>
      <c r="N82" s="278">
        <v>7315220</v>
      </c>
      <c r="O82" s="278">
        <f t="shared" si="14"/>
        <v>0</v>
      </c>
      <c r="P82" s="291">
        <f t="shared" si="15"/>
        <v>0</v>
      </c>
      <c r="Q82" s="335">
        <v>7315220</v>
      </c>
      <c r="R82" s="333">
        <f t="shared" si="17"/>
        <v>0</v>
      </c>
      <c r="T82" s="279">
        <v>6474559</v>
      </c>
      <c r="U82" s="67"/>
    </row>
    <row r="83" spans="1:21" ht="15">
      <c r="A83" s="75">
        <v>630</v>
      </c>
      <c r="B83" s="73">
        <v>100</v>
      </c>
      <c r="C83" s="73">
        <v>300</v>
      </c>
      <c r="D83" s="74">
        <v>300</v>
      </c>
      <c r="E83" s="74"/>
      <c r="F83" s="74"/>
      <c r="G83" s="65" t="s">
        <v>447</v>
      </c>
      <c r="H83" s="335">
        <v>0</v>
      </c>
      <c r="I83" s="333">
        <v>0</v>
      </c>
      <c r="J83" s="147" t="s">
        <v>37</v>
      </c>
      <c r="K83" s="296"/>
      <c r="L83" s="278">
        <f t="shared" si="13"/>
        <v>0</v>
      </c>
      <c r="M83" s="291" t="e">
        <f t="shared" si="16"/>
        <v>#DIV/0!</v>
      </c>
      <c r="N83" s="278">
        <v>0</v>
      </c>
      <c r="O83" s="278">
        <f aca="true" t="shared" si="18" ref="O83:O95">H83-N83</f>
        <v>0</v>
      </c>
      <c r="P83" s="291" t="e">
        <f t="shared" si="15"/>
        <v>#DIV/0!</v>
      </c>
      <c r="Q83" s="335">
        <v>0</v>
      </c>
      <c r="R83" s="333">
        <f t="shared" si="17"/>
        <v>0</v>
      </c>
      <c r="T83" s="279">
        <v>0</v>
      </c>
      <c r="U83" s="67"/>
    </row>
    <row r="84" spans="1:21" ht="15">
      <c r="A84" s="75">
        <v>630</v>
      </c>
      <c r="B84" s="73">
        <v>100</v>
      </c>
      <c r="C84" s="73">
        <v>300</v>
      </c>
      <c r="D84" s="74">
        <v>350</v>
      </c>
      <c r="E84" s="74"/>
      <c r="F84" s="74"/>
      <c r="G84" s="65" t="s">
        <v>448</v>
      </c>
      <c r="H84" s="333">
        <v>0</v>
      </c>
      <c r="I84" s="333">
        <v>0</v>
      </c>
      <c r="J84" s="147" t="s">
        <v>38</v>
      </c>
      <c r="K84" s="296"/>
      <c r="L84" s="278">
        <f aca="true" t="shared" si="19" ref="L84:L95">H84-I84</f>
        <v>0</v>
      </c>
      <c r="M84" s="291" t="e">
        <f t="shared" si="16"/>
        <v>#DIV/0!</v>
      </c>
      <c r="N84" s="278">
        <v>0</v>
      </c>
      <c r="O84" s="278">
        <f t="shared" si="18"/>
        <v>0</v>
      </c>
      <c r="P84" s="291" t="e">
        <f t="shared" si="15"/>
        <v>#DIV/0!</v>
      </c>
      <c r="Q84" s="335">
        <v>0</v>
      </c>
      <c r="R84" s="333">
        <f t="shared" si="17"/>
        <v>0</v>
      </c>
      <c r="T84" s="279">
        <v>0</v>
      </c>
      <c r="U84" s="67"/>
    </row>
    <row r="85" spans="1:21" ht="15">
      <c r="A85" s="75">
        <v>630</v>
      </c>
      <c r="B85" s="73">
        <v>100</v>
      </c>
      <c r="C85" s="73">
        <v>300</v>
      </c>
      <c r="D85" s="74">
        <v>400</v>
      </c>
      <c r="E85" s="74"/>
      <c r="F85" s="74"/>
      <c r="G85" s="65" t="s">
        <v>449</v>
      </c>
      <c r="H85" s="335">
        <v>0</v>
      </c>
      <c r="I85" s="333">
        <v>0</v>
      </c>
      <c r="J85" s="147" t="s">
        <v>39</v>
      </c>
      <c r="K85" s="296"/>
      <c r="L85" s="278">
        <f t="shared" si="19"/>
        <v>0</v>
      </c>
      <c r="M85" s="291" t="e">
        <f t="shared" si="16"/>
        <v>#DIV/0!</v>
      </c>
      <c r="N85" s="278">
        <v>0</v>
      </c>
      <c r="O85" s="278">
        <f t="shared" si="18"/>
        <v>0</v>
      </c>
      <c r="P85" s="291" t="e">
        <f t="shared" si="15"/>
        <v>#DIV/0!</v>
      </c>
      <c r="Q85" s="335">
        <v>0</v>
      </c>
      <c r="R85" s="333">
        <f t="shared" si="17"/>
        <v>0</v>
      </c>
      <c r="T85" s="279">
        <v>0</v>
      </c>
      <c r="U85" s="67"/>
    </row>
    <row r="86" spans="1:21" ht="15">
      <c r="A86" s="75">
        <v>630</v>
      </c>
      <c r="B86" s="73">
        <v>100</v>
      </c>
      <c r="C86" s="73">
        <v>300</v>
      </c>
      <c r="D86" s="74">
        <v>450</v>
      </c>
      <c r="E86" s="74"/>
      <c r="F86" s="74"/>
      <c r="G86" s="65" t="s">
        <v>450</v>
      </c>
      <c r="H86" s="333">
        <v>0</v>
      </c>
      <c r="I86" s="333">
        <v>0</v>
      </c>
      <c r="J86" s="147" t="s">
        <v>40</v>
      </c>
      <c r="K86" s="296"/>
      <c r="L86" s="278">
        <f t="shared" si="19"/>
        <v>0</v>
      </c>
      <c r="M86" s="291" t="e">
        <f t="shared" si="16"/>
        <v>#DIV/0!</v>
      </c>
      <c r="N86" s="278">
        <v>0</v>
      </c>
      <c r="O86" s="278">
        <f t="shared" si="18"/>
        <v>0</v>
      </c>
      <c r="P86" s="291" t="e">
        <f t="shared" si="15"/>
        <v>#DIV/0!</v>
      </c>
      <c r="Q86" s="335">
        <v>0</v>
      </c>
      <c r="R86" s="333">
        <f t="shared" si="17"/>
        <v>0</v>
      </c>
      <c r="T86" s="279">
        <v>0</v>
      </c>
      <c r="U86" s="67"/>
    </row>
    <row r="87" spans="1:21" ht="25.5">
      <c r="A87" s="75">
        <v>630</v>
      </c>
      <c r="B87" s="73">
        <v>100</v>
      </c>
      <c r="C87" s="73">
        <v>300</v>
      </c>
      <c r="D87" s="74">
        <v>500</v>
      </c>
      <c r="E87" s="74"/>
      <c r="F87" s="74"/>
      <c r="G87" s="65" t="s">
        <v>451</v>
      </c>
      <c r="H87" s="335">
        <v>0</v>
      </c>
      <c r="I87" s="333">
        <v>0</v>
      </c>
      <c r="J87" s="147" t="s">
        <v>41</v>
      </c>
      <c r="K87" s="296"/>
      <c r="L87" s="278">
        <f t="shared" si="19"/>
        <v>0</v>
      </c>
      <c r="M87" s="291" t="e">
        <f t="shared" si="16"/>
        <v>#DIV/0!</v>
      </c>
      <c r="N87" s="278">
        <v>0</v>
      </c>
      <c r="O87" s="278">
        <f t="shared" si="18"/>
        <v>0</v>
      </c>
      <c r="P87" s="291" t="e">
        <f t="shared" si="15"/>
        <v>#DIV/0!</v>
      </c>
      <c r="Q87" s="335">
        <v>0</v>
      </c>
      <c r="R87" s="333">
        <f t="shared" si="17"/>
        <v>0</v>
      </c>
      <c r="T87" s="279">
        <v>0</v>
      </c>
      <c r="U87" s="67"/>
    </row>
    <row r="88" spans="1:21" ht="25.5">
      <c r="A88" s="75">
        <v>630</v>
      </c>
      <c r="B88" s="73">
        <v>100</v>
      </c>
      <c r="C88" s="73">
        <v>300</v>
      </c>
      <c r="D88" s="74">
        <v>550</v>
      </c>
      <c r="E88" s="74"/>
      <c r="F88" s="74"/>
      <c r="G88" s="65" t="s">
        <v>452</v>
      </c>
      <c r="H88" s="333">
        <v>0</v>
      </c>
      <c r="I88" s="333">
        <v>0</v>
      </c>
      <c r="J88" s="147" t="s">
        <v>42</v>
      </c>
      <c r="K88" s="296"/>
      <c r="L88" s="278">
        <f t="shared" si="19"/>
        <v>0</v>
      </c>
      <c r="M88" s="291" t="e">
        <f t="shared" si="16"/>
        <v>#DIV/0!</v>
      </c>
      <c r="N88" s="278">
        <v>0</v>
      </c>
      <c r="O88" s="278">
        <f t="shared" si="18"/>
        <v>0</v>
      </c>
      <c r="P88" s="291" t="e">
        <f t="shared" si="15"/>
        <v>#DIV/0!</v>
      </c>
      <c r="Q88" s="335">
        <v>0</v>
      </c>
      <c r="R88" s="333">
        <f t="shared" si="17"/>
        <v>0</v>
      </c>
      <c r="T88" s="279">
        <v>0</v>
      </c>
      <c r="U88" s="67"/>
    </row>
    <row r="89" spans="1:21" ht="15">
      <c r="A89" s="75">
        <v>630</v>
      </c>
      <c r="B89" s="73">
        <v>100</v>
      </c>
      <c r="C89" s="73">
        <v>300</v>
      </c>
      <c r="D89" s="74">
        <v>600</v>
      </c>
      <c r="E89" s="74"/>
      <c r="F89" s="74"/>
      <c r="G89" s="65" t="s">
        <v>453</v>
      </c>
      <c r="H89" s="335">
        <v>0</v>
      </c>
      <c r="I89" s="333">
        <v>0</v>
      </c>
      <c r="J89" s="147" t="s">
        <v>43</v>
      </c>
      <c r="K89" s="296"/>
      <c r="L89" s="278">
        <f t="shared" si="19"/>
        <v>0</v>
      </c>
      <c r="M89" s="291" t="e">
        <f t="shared" si="16"/>
        <v>#DIV/0!</v>
      </c>
      <c r="N89" s="278">
        <v>0</v>
      </c>
      <c r="O89" s="278">
        <f t="shared" si="18"/>
        <v>0</v>
      </c>
      <c r="P89" s="291" t="e">
        <f t="shared" si="15"/>
        <v>#DIV/0!</v>
      </c>
      <c r="Q89" s="335">
        <v>0</v>
      </c>
      <c r="R89" s="333">
        <f t="shared" si="17"/>
        <v>0</v>
      </c>
      <c r="T89" s="279">
        <v>0</v>
      </c>
      <c r="U89" s="67"/>
    </row>
    <row r="90" spans="1:21" ht="25.5">
      <c r="A90" s="75">
        <v>630</v>
      </c>
      <c r="B90" s="73">
        <v>100</v>
      </c>
      <c r="C90" s="73">
        <v>300</v>
      </c>
      <c r="D90" s="73">
        <v>650</v>
      </c>
      <c r="E90" s="73"/>
      <c r="F90" s="73"/>
      <c r="G90" s="66" t="s">
        <v>454</v>
      </c>
      <c r="H90" s="334"/>
      <c r="I90" s="337"/>
      <c r="J90" s="147"/>
      <c r="K90" s="296"/>
      <c r="L90" s="149"/>
      <c r="M90" s="149"/>
      <c r="N90" s="149"/>
      <c r="O90" s="149"/>
      <c r="P90" s="149"/>
      <c r="Q90" s="334"/>
      <c r="R90" s="290"/>
      <c r="T90" s="149"/>
      <c r="U90" s="67"/>
    </row>
    <row r="91" spans="1:21" ht="25.5">
      <c r="A91" s="75">
        <v>630</v>
      </c>
      <c r="B91" s="73">
        <v>100</v>
      </c>
      <c r="C91" s="73">
        <v>300</v>
      </c>
      <c r="D91" s="73">
        <v>650</v>
      </c>
      <c r="E91" s="74">
        <v>10</v>
      </c>
      <c r="F91" s="74"/>
      <c r="G91" s="65" t="s">
        <v>455</v>
      </c>
      <c r="H91" s="335">
        <v>0</v>
      </c>
      <c r="I91" s="333">
        <v>0</v>
      </c>
      <c r="J91" s="147" t="s">
        <v>44</v>
      </c>
      <c r="K91" s="296"/>
      <c r="L91" s="278">
        <f t="shared" si="19"/>
        <v>0</v>
      </c>
      <c r="M91" s="291" t="e">
        <f>L91/I91</f>
        <v>#DIV/0!</v>
      </c>
      <c r="N91" s="278">
        <v>0</v>
      </c>
      <c r="O91" s="278">
        <f t="shared" si="18"/>
        <v>0</v>
      </c>
      <c r="P91" s="291" t="e">
        <f t="shared" si="15"/>
        <v>#DIV/0!</v>
      </c>
      <c r="Q91" s="335">
        <v>0</v>
      </c>
      <c r="R91" s="333">
        <f>H91-Q91</f>
        <v>0</v>
      </c>
      <c r="T91" s="279">
        <v>0</v>
      </c>
      <c r="U91" s="67"/>
    </row>
    <row r="92" spans="1:21" ht="25.5">
      <c r="A92" s="75">
        <v>630</v>
      </c>
      <c r="B92" s="73">
        <v>100</v>
      </c>
      <c r="C92" s="73">
        <v>300</v>
      </c>
      <c r="D92" s="73">
        <v>650</v>
      </c>
      <c r="E92" s="73">
        <v>20</v>
      </c>
      <c r="F92" s="73"/>
      <c r="G92" s="66" t="s">
        <v>456</v>
      </c>
      <c r="H92" s="337"/>
      <c r="I92" s="337"/>
      <c r="J92" s="147" t="s">
        <v>45</v>
      </c>
      <c r="K92" s="296"/>
      <c r="L92" s="149"/>
      <c r="M92" s="149"/>
      <c r="N92" s="149"/>
      <c r="O92" s="149"/>
      <c r="P92" s="149"/>
      <c r="Q92" s="334"/>
      <c r="R92" s="290"/>
      <c r="T92" s="149"/>
      <c r="U92" s="67"/>
    </row>
    <row r="93" spans="1:21" ht="15">
      <c r="A93" s="75">
        <v>630</v>
      </c>
      <c r="B93" s="73">
        <v>100</v>
      </c>
      <c r="C93" s="73">
        <v>300</v>
      </c>
      <c r="D93" s="73">
        <v>650</v>
      </c>
      <c r="E93" s="73">
        <v>20</v>
      </c>
      <c r="F93" s="77">
        <v>10</v>
      </c>
      <c r="G93" s="65" t="s">
        <v>440</v>
      </c>
      <c r="H93" s="333">
        <v>2170</v>
      </c>
      <c r="I93" s="333">
        <v>9382</v>
      </c>
      <c r="J93" s="51"/>
      <c r="K93" s="64"/>
      <c r="L93" s="278">
        <f t="shared" si="19"/>
        <v>-7212</v>
      </c>
      <c r="M93" s="291">
        <f>L93/I93</f>
        <v>-0.7687</v>
      </c>
      <c r="N93" s="279">
        <v>20000</v>
      </c>
      <c r="O93" s="278">
        <f t="shared" si="18"/>
        <v>-17830</v>
      </c>
      <c r="P93" s="291">
        <f t="shared" si="15"/>
        <v>-0.8915</v>
      </c>
      <c r="Q93" s="333">
        <v>2200</v>
      </c>
      <c r="R93" s="333">
        <f>H93-Q93</f>
        <v>-30</v>
      </c>
      <c r="T93" s="279">
        <v>9382</v>
      </c>
      <c r="U93" s="67"/>
    </row>
    <row r="94" spans="1:21" ht="25.5">
      <c r="A94" s="75">
        <v>630</v>
      </c>
      <c r="B94" s="73">
        <v>100</v>
      </c>
      <c r="C94" s="73">
        <v>300</v>
      </c>
      <c r="D94" s="73">
        <v>650</v>
      </c>
      <c r="E94" s="73">
        <v>20</v>
      </c>
      <c r="F94" s="77">
        <v>20</v>
      </c>
      <c r="G94" s="65" t="s">
        <v>456</v>
      </c>
      <c r="H94" s="333">
        <v>0</v>
      </c>
      <c r="I94" s="333">
        <v>29473</v>
      </c>
      <c r="J94" s="51"/>
      <c r="K94" s="64"/>
      <c r="L94" s="278">
        <f t="shared" si="19"/>
        <v>-29473</v>
      </c>
      <c r="M94" s="291">
        <f>L94/I94</f>
        <v>-1</v>
      </c>
      <c r="N94" s="279">
        <v>0</v>
      </c>
      <c r="O94" s="278">
        <f t="shared" si="18"/>
        <v>0</v>
      </c>
      <c r="P94" s="291" t="e">
        <f t="shared" si="15"/>
        <v>#DIV/0!</v>
      </c>
      <c r="Q94" s="333">
        <v>0</v>
      </c>
      <c r="R94" s="333">
        <f>H94-Q94</f>
        <v>0</v>
      </c>
      <c r="T94" s="279">
        <v>0</v>
      </c>
      <c r="U94" s="67" t="s">
        <v>659</v>
      </c>
    </row>
    <row r="95" spans="1:20" ht="25.5">
      <c r="A95" s="75">
        <v>630</v>
      </c>
      <c r="B95" s="73">
        <v>100</v>
      </c>
      <c r="C95" s="73">
        <v>300</v>
      </c>
      <c r="D95" s="74">
        <v>700</v>
      </c>
      <c r="E95" s="74"/>
      <c r="F95" s="74"/>
      <c r="G95" s="65" t="s">
        <v>457</v>
      </c>
      <c r="H95" s="335">
        <v>0</v>
      </c>
      <c r="I95" s="333">
        <v>0</v>
      </c>
      <c r="J95" s="147" t="s">
        <v>46</v>
      </c>
      <c r="K95" s="296"/>
      <c r="L95" s="278">
        <f t="shared" si="19"/>
        <v>0</v>
      </c>
      <c r="M95" s="291" t="e">
        <f>L95/I95</f>
        <v>#DIV/0!</v>
      </c>
      <c r="N95" s="278">
        <v>0</v>
      </c>
      <c r="O95" s="278">
        <f t="shared" si="18"/>
        <v>0</v>
      </c>
      <c r="P95" s="291" t="e">
        <f t="shared" si="15"/>
        <v>#DIV/0!</v>
      </c>
      <c r="Q95" s="335">
        <v>0</v>
      </c>
      <c r="R95" s="333">
        <f>H95-Q95</f>
        <v>0</v>
      </c>
      <c r="T95" s="279">
        <v>0</v>
      </c>
    </row>
    <row r="96" spans="1:20" ht="38.25">
      <c r="A96" s="75">
        <v>630</v>
      </c>
      <c r="B96" s="73">
        <v>200</v>
      </c>
      <c r="C96" s="73"/>
      <c r="D96" s="73"/>
      <c r="E96" s="73"/>
      <c r="F96" s="73"/>
      <c r="G96" s="66" t="s">
        <v>458</v>
      </c>
      <c r="H96" s="337"/>
      <c r="I96" s="337"/>
      <c r="J96" s="147"/>
      <c r="K96" s="296"/>
      <c r="L96" s="272"/>
      <c r="M96" s="149"/>
      <c r="N96" s="272"/>
      <c r="O96" s="272"/>
      <c r="P96" s="149"/>
      <c r="Q96" s="334"/>
      <c r="R96" s="290"/>
      <c r="T96" s="149"/>
    </row>
    <row r="97" spans="1:20" ht="25.5">
      <c r="A97" s="75">
        <v>630</v>
      </c>
      <c r="B97" s="73">
        <v>200</v>
      </c>
      <c r="C97" s="74">
        <v>100</v>
      </c>
      <c r="D97" s="74"/>
      <c r="E97" s="74"/>
      <c r="F97" s="74"/>
      <c r="G97" s="65" t="s">
        <v>459</v>
      </c>
      <c r="H97" s="335">
        <v>0</v>
      </c>
      <c r="I97" s="333">
        <v>0</v>
      </c>
      <c r="J97" s="147" t="s">
        <v>47</v>
      </c>
      <c r="K97" s="296"/>
      <c r="L97" s="278">
        <f aca="true" t="shared" si="20" ref="L97:L109">H97-I97</f>
        <v>0</v>
      </c>
      <c r="M97" s="291" t="e">
        <f>L97/I97</f>
        <v>#DIV/0!</v>
      </c>
      <c r="N97" s="278">
        <v>0</v>
      </c>
      <c r="O97" s="278">
        <f aca="true" t="shared" si="21" ref="O97:O109">H97-N97</f>
        <v>0</v>
      </c>
      <c r="P97" s="291" t="e">
        <f t="shared" si="15"/>
        <v>#DIV/0!</v>
      </c>
      <c r="Q97" s="335">
        <v>0</v>
      </c>
      <c r="R97" s="333">
        <f>H97-Q97</f>
        <v>0</v>
      </c>
      <c r="T97" s="279">
        <v>0</v>
      </c>
    </row>
    <row r="98" spans="1:20" ht="25.5">
      <c r="A98" s="75">
        <v>630</v>
      </c>
      <c r="B98" s="73">
        <v>200</v>
      </c>
      <c r="C98" s="74">
        <v>200</v>
      </c>
      <c r="D98" s="74"/>
      <c r="E98" s="74"/>
      <c r="F98" s="74"/>
      <c r="G98" s="65" t="s">
        <v>460</v>
      </c>
      <c r="H98" s="335">
        <v>0</v>
      </c>
      <c r="I98" s="333">
        <v>0</v>
      </c>
      <c r="J98" s="147" t="s">
        <v>48</v>
      </c>
      <c r="K98" s="296"/>
      <c r="L98" s="278">
        <f t="shared" si="20"/>
        <v>0</v>
      </c>
      <c r="M98" s="291" t="e">
        <f>L98/I98</f>
        <v>#DIV/0!</v>
      </c>
      <c r="N98" s="278">
        <v>0</v>
      </c>
      <c r="O98" s="278">
        <f t="shared" si="21"/>
        <v>0</v>
      </c>
      <c r="P98" s="291" t="e">
        <f t="shared" si="15"/>
        <v>#DIV/0!</v>
      </c>
      <c r="Q98" s="335">
        <v>0</v>
      </c>
      <c r="R98" s="333">
        <f>H98-Q98</f>
        <v>0</v>
      </c>
      <c r="T98" s="279">
        <v>0</v>
      </c>
    </row>
    <row r="99" spans="1:20" ht="25.5">
      <c r="A99" s="75">
        <v>630</v>
      </c>
      <c r="B99" s="73">
        <v>200</v>
      </c>
      <c r="C99" s="74">
        <v>300</v>
      </c>
      <c r="D99" s="74"/>
      <c r="E99" s="74"/>
      <c r="F99" s="74"/>
      <c r="G99" s="65" t="s">
        <v>461</v>
      </c>
      <c r="H99" s="335">
        <v>0</v>
      </c>
      <c r="I99" s="333">
        <v>0</v>
      </c>
      <c r="J99" s="147" t="s">
        <v>49</v>
      </c>
      <c r="K99" s="296"/>
      <c r="L99" s="278">
        <f t="shared" si="20"/>
        <v>0</v>
      </c>
      <c r="M99" s="291" t="e">
        <f>L99/I99</f>
        <v>#DIV/0!</v>
      </c>
      <c r="N99" s="278">
        <v>0</v>
      </c>
      <c r="O99" s="278">
        <f t="shared" si="21"/>
        <v>0</v>
      </c>
      <c r="P99" s="291" t="e">
        <f t="shared" si="15"/>
        <v>#DIV/0!</v>
      </c>
      <c r="Q99" s="335">
        <v>0</v>
      </c>
      <c r="R99" s="333">
        <f>H99-Q99</f>
        <v>0</v>
      </c>
      <c r="T99" s="279">
        <v>0</v>
      </c>
    </row>
    <row r="100" spans="1:20" ht="38.25">
      <c r="A100" s="75">
        <v>630</v>
      </c>
      <c r="B100" s="73">
        <v>200</v>
      </c>
      <c r="C100" s="74">
        <v>400</v>
      </c>
      <c r="D100" s="74"/>
      <c r="E100" s="74"/>
      <c r="F100" s="74"/>
      <c r="G100" s="65" t="s">
        <v>462</v>
      </c>
      <c r="H100" s="335">
        <v>0</v>
      </c>
      <c r="I100" s="333">
        <v>0</v>
      </c>
      <c r="J100" s="147" t="s">
        <v>50</v>
      </c>
      <c r="K100" s="296"/>
      <c r="L100" s="278">
        <f t="shared" si="20"/>
        <v>0</v>
      </c>
      <c r="M100" s="291" t="e">
        <f>L100/I100</f>
        <v>#DIV/0!</v>
      </c>
      <c r="N100" s="278">
        <v>0</v>
      </c>
      <c r="O100" s="278">
        <f t="shared" si="21"/>
        <v>0</v>
      </c>
      <c r="P100" s="291" t="e">
        <f t="shared" si="15"/>
        <v>#DIV/0!</v>
      </c>
      <c r="Q100" s="335">
        <v>0</v>
      </c>
      <c r="R100" s="333">
        <f>H100-Q100</f>
        <v>0</v>
      </c>
      <c r="T100" s="279">
        <v>0</v>
      </c>
    </row>
    <row r="101" spans="1:20" ht="25.5">
      <c r="A101" s="75">
        <v>630</v>
      </c>
      <c r="B101" s="73">
        <v>300</v>
      </c>
      <c r="C101" s="73"/>
      <c r="D101" s="73"/>
      <c r="E101" s="73"/>
      <c r="F101" s="73"/>
      <c r="G101" s="66" t="s">
        <v>463</v>
      </c>
      <c r="H101" s="337"/>
      <c r="I101" s="337"/>
      <c r="J101" s="147" t="s">
        <v>51</v>
      </c>
      <c r="K101" s="296"/>
      <c r="L101" s="272"/>
      <c r="M101" s="272"/>
      <c r="N101" s="272"/>
      <c r="O101" s="272"/>
      <c r="P101" s="272"/>
      <c r="Q101" s="334"/>
      <c r="R101" s="292"/>
      <c r="T101" s="149"/>
    </row>
    <row r="102" spans="1:20" ht="15">
      <c r="A102" s="75">
        <v>630</v>
      </c>
      <c r="B102" s="73">
        <v>300</v>
      </c>
      <c r="C102" s="76">
        <v>100</v>
      </c>
      <c r="D102" s="76"/>
      <c r="E102" s="76"/>
      <c r="F102" s="76"/>
      <c r="G102" s="66" t="s">
        <v>464</v>
      </c>
      <c r="H102" s="337"/>
      <c r="I102" s="337"/>
      <c r="J102" s="51"/>
      <c r="K102" s="64"/>
      <c r="L102" s="272"/>
      <c r="M102" s="272"/>
      <c r="N102" s="272"/>
      <c r="O102" s="272"/>
      <c r="P102" s="272"/>
      <c r="Q102" s="334"/>
      <c r="R102" s="292"/>
      <c r="T102" s="149"/>
    </row>
    <row r="103" spans="1:20" ht="15">
      <c r="A103" s="75">
        <v>630</v>
      </c>
      <c r="B103" s="73">
        <v>300</v>
      </c>
      <c r="C103" s="76">
        <v>100</v>
      </c>
      <c r="D103" s="77">
        <v>100</v>
      </c>
      <c r="E103" s="77"/>
      <c r="F103" s="77"/>
      <c r="G103" s="65" t="s">
        <v>427</v>
      </c>
      <c r="H103" s="333">
        <v>188911</v>
      </c>
      <c r="I103" s="333">
        <v>235203</v>
      </c>
      <c r="J103" s="51"/>
      <c r="K103" s="64"/>
      <c r="L103" s="278">
        <f t="shared" si="20"/>
        <v>-46292</v>
      </c>
      <c r="M103" s="291">
        <f aca="true" t="shared" si="22" ref="M103:M109">L103/I103</f>
        <v>-0.1968</v>
      </c>
      <c r="N103" s="287">
        <v>150000</v>
      </c>
      <c r="O103" s="278">
        <f t="shared" si="21"/>
        <v>38911</v>
      </c>
      <c r="P103" s="291">
        <f t="shared" si="15"/>
        <v>0.2594</v>
      </c>
      <c r="Q103" s="333">
        <v>150000</v>
      </c>
      <c r="R103" s="333">
        <f aca="true" t="shared" si="23" ref="R103:R109">H103-Q103</f>
        <v>38911</v>
      </c>
      <c r="T103" s="279">
        <v>235203</v>
      </c>
    </row>
    <row r="104" spans="1:20" ht="15">
      <c r="A104" s="75">
        <v>630</v>
      </c>
      <c r="B104" s="73">
        <v>300</v>
      </c>
      <c r="C104" s="76">
        <v>100</v>
      </c>
      <c r="D104" s="77">
        <v>200</v>
      </c>
      <c r="E104" s="77"/>
      <c r="F104" s="77"/>
      <c r="G104" s="65" t="s">
        <v>465</v>
      </c>
      <c r="H104" s="333">
        <v>0</v>
      </c>
      <c r="I104" s="333">
        <v>0</v>
      </c>
      <c r="J104" s="51"/>
      <c r="K104" s="64"/>
      <c r="L104" s="278">
        <f t="shared" si="20"/>
        <v>0</v>
      </c>
      <c r="M104" s="291" t="e">
        <f t="shared" si="22"/>
        <v>#DIV/0!</v>
      </c>
      <c r="N104" s="287">
        <v>0</v>
      </c>
      <c r="O104" s="278">
        <f t="shared" si="21"/>
        <v>0</v>
      </c>
      <c r="P104" s="291" t="e">
        <f t="shared" si="15"/>
        <v>#DIV/0!</v>
      </c>
      <c r="Q104" s="333">
        <v>0</v>
      </c>
      <c r="R104" s="333">
        <f t="shared" si="23"/>
        <v>0</v>
      </c>
      <c r="T104" s="279">
        <v>0</v>
      </c>
    </row>
    <row r="105" spans="1:20" ht="15">
      <c r="A105" s="75">
        <v>630</v>
      </c>
      <c r="B105" s="73">
        <v>300</v>
      </c>
      <c r="C105" s="76">
        <v>100</v>
      </c>
      <c r="D105" s="77">
        <v>300</v>
      </c>
      <c r="E105" s="77"/>
      <c r="F105" s="77"/>
      <c r="G105" s="65" t="s">
        <v>466</v>
      </c>
      <c r="H105" s="333">
        <v>0</v>
      </c>
      <c r="I105" s="333">
        <v>0</v>
      </c>
      <c r="J105" s="51"/>
      <c r="K105" s="64"/>
      <c r="L105" s="278">
        <f t="shared" si="20"/>
        <v>0</v>
      </c>
      <c r="M105" s="291" t="e">
        <f t="shared" si="22"/>
        <v>#DIV/0!</v>
      </c>
      <c r="N105" s="287">
        <v>0</v>
      </c>
      <c r="O105" s="278">
        <f t="shared" si="21"/>
        <v>0</v>
      </c>
      <c r="P105" s="291" t="e">
        <f t="shared" si="15"/>
        <v>#DIV/0!</v>
      </c>
      <c r="Q105" s="333">
        <v>0</v>
      </c>
      <c r="R105" s="333">
        <f t="shared" si="23"/>
        <v>0</v>
      </c>
      <c r="T105" s="279">
        <v>0</v>
      </c>
    </row>
    <row r="106" spans="1:20" ht="15">
      <c r="A106" s="75">
        <v>630</v>
      </c>
      <c r="B106" s="73">
        <v>300</v>
      </c>
      <c r="C106" s="76">
        <v>100</v>
      </c>
      <c r="D106" s="77">
        <v>400</v>
      </c>
      <c r="E106" s="77"/>
      <c r="F106" s="77"/>
      <c r="G106" s="65" t="s">
        <v>444</v>
      </c>
      <c r="H106" s="333">
        <v>132097</v>
      </c>
      <c r="I106" s="333">
        <v>145810</v>
      </c>
      <c r="J106" s="51"/>
      <c r="K106" s="64"/>
      <c r="L106" s="278">
        <f t="shared" si="20"/>
        <v>-13713</v>
      </c>
      <c r="M106" s="291">
        <f t="shared" si="22"/>
        <v>-0.094</v>
      </c>
      <c r="N106" s="287">
        <v>100000</v>
      </c>
      <c r="O106" s="278">
        <f t="shared" si="21"/>
        <v>32097</v>
      </c>
      <c r="P106" s="291">
        <f t="shared" si="15"/>
        <v>0.321</v>
      </c>
      <c r="Q106" s="333">
        <v>100000</v>
      </c>
      <c r="R106" s="333">
        <f t="shared" si="23"/>
        <v>32097</v>
      </c>
      <c r="T106" s="279">
        <v>145810</v>
      </c>
    </row>
    <row r="107" spans="1:20" ht="15">
      <c r="A107" s="75">
        <v>630</v>
      </c>
      <c r="B107" s="73">
        <v>300</v>
      </c>
      <c r="C107" s="76">
        <v>100</v>
      </c>
      <c r="D107" s="77">
        <v>500</v>
      </c>
      <c r="E107" s="77"/>
      <c r="F107" s="77"/>
      <c r="G107" s="65" t="s">
        <v>467</v>
      </c>
      <c r="H107" s="333">
        <v>0</v>
      </c>
      <c r="I107" s="333">
        <v>0</v>
      </c>
      <c r="J107" s="51"/>
      <c r="K107" s="64"/>
      <c r="L107" s="278">
        <f t="shared" si="20"/>
        <v>0</v>
      </c>
      <c r="M107" s="291" t="e">
        <f t="shared" si="22"/>
        <v>#DIV/0!</v>
      </c>
      <c r="N107" s="279">
        <v>0</v>
      </c>
      <c r="O107" s="278">
        <f t="shared" si="21"/>
        <v>0</v>
      </c>
      <c r="P107" s="291" t="e">
        <f t="shared" si="15"/>
        <v>#DIV/0!</v>
      </c>
      <c r="Q107" s="333">
        <v>0</v>
      </c>
      <c r="R107" s="333">
        <f t="shared" si="23"/>
        <v>0</v>
      </c>
      <c r="T107" s="279">
        <v>0</v>
      </c>
    </row>
    <row r="108" spans="1:20" ht="15">
      <c r="A108" s="75">
        <v>630</v>
      </c>
      <c r="B108" s="73">
        <v>300</v>
      </c>
      <c r="C108" s="76">
        <v>100</v>
      </c>
      <c r="D108" s="77">
        <v>600</v>
      </c>
      <c r="E108" s="77"/>
      <c r="F108" s="77"/>
      <c r="G108" s="65" t="s">
        <v>468</v>
      </c>
      <c r="H108" s="333">
        <v>0</v>
      </c>
      <c r="I108" s="333">
        <v>0</v>
      </c>
      <c r="J108" s="51"/>
      <c r="K108" s="64"/>
      <c r="L108" s="278">
        <f t="shared" si="20"/>
        <v>0</v>
      </c>
      <c r="M108" s="291" t="e">
        <f t="shared" si="22"/>
        <v>#DIV/0!</v>
      </c>
      <c r="N108" s="279">
        <v>0</v>
      </c>
      <c r="O108" s="278">
        <f t="shared" si="21"/>
        <v>0</v>
      </c>
      <c r="P108" s="291" t="e">
        <f t="shared" si="15"/>
        <v>#DIV/0!</v>
      </c>
      <c r="Q108" s="333">
        <v>0</v>
      </c>
      <c r="R108" s="333">
        <f t="shared" si="23"/>
        <v>0</v>
      </c>
      <c r="T108" s="279">
        <v>0</v>
      </c>
    </row>
    <row r="109" spans="1:20" ht="15">
      <c r="A109" s="75">
        <v>630</v>
      </c>
      <c r="B109" s="73">
        <v>300</v>
      </c>
      <c r="C109" s="76">
        <v>100</v>
      </c>
      <c r="D109" s="77">
        <v>900</v>
      </c>
      <c r="E109" s="77"/>
      <c r="F109" s="77"/>
      <c r="G109" s="65" t="s">
        <v>469</v>
      </c>
      <c r="H109" s="333">
        <v>0</v>
      </c>
      <c r="I109" s="333">
        <v>0</v>
      </c>
      <c r="J109" s="51"/>
      <c r="K109" s="64"/>
      <c r="L109" s="278">
        <f t="shared" si="20"/>
        <v>0</v>
      </c>
      <c r="M109" s="291" t="e">
        <f t="shared" si="22"/>
        <v>#DIV/0!</v>
      </c>
      <c r="N109" s="279">
        <v>0</v>
      </c>
      <c r="O109" s="278">
        <f t="shared" si="21"/>
        <v>0</v>
      </c>
      <c r="P109" s="291" t="e">
        <f t="shared" si="15"/>
        <v>#DIV/0!</v>
      </c>
      <c r="Q109" s="333">
        <v>0</v>
      </c>
      <c r="R109" s="333">
        <f t="shared" si="23"/>
        <v>0</v>
      </c>
      <c r="T109" s="279">
        <v>0</v>
      </c>
    </row>
    <row r="110" spans="1:20" ht="15">
      <c r="A110" s="75">
        <v>630</v>
      </c>
      <c r="B110" s="73">
        <v>300</v>
      </c>
      <c r="C110" s="76">
        <v>200</v>
      </c>
      <c r="D110" s="76"/>
      <c r="E110" s="76"/>
      <c r="F110" s="76"/>
      <c r="G110" s="66" t="s">
        <v>470</v>
      </c>
      <c r="H110" s="334"/>
      <c r="I110" s="337"/>
      <c r="J110" s="51"/>
      <c r="K110" s="64"/>
      <c r="L110" s="272"/>
      <c r="M110" s="272"/>
      <c r="N110" s="272"/>
      <c r="O110" s="272"/>
      <c r="P110" s="272"/>
      <c r="Q110" s="334"/>
      <c r="R110" s="292"/>
      <c r="T110" s="149"/>
    </row>
    <row r="111" spans="1:20" ht="15">
      <c r="A111" s="75">
        <v>630</v>
      </c>
      <c r="B111" s="73">
        <v>300</v>
      </c>
      <c r="C111" s="76">
        <v>200</v>
      </c>
      <c r="D111" s="77">
        <v>50</v>
      </c>
      <c r="E111" s="77"/>
      <c r="F111" s="77"/>
      <c r="G111" s="65" t="s">
        <v>471</v>
      </c>
      <c r="H111" s="333">
        <v>0</v>
      </c>
      <c r="I111" s="333">
        <v>0</v>
      </c>
      <c r="J111" s="51"/>
      <c r="K111" s="64"/>
      <c r="L111" s="278">
        <f>H111-I111</f>
        <v>0</v>
      </c>
      <c r="M111" s="291" t="e">
        <f aca="true" t="shared" si="24" ref="M111:M124">L111/I111</f>
        <v>#DIV/0!</v>
      </c>
      <c r="N111" s="279">
        <v>0</v>
      </c>
      <c r="O111" s="278">
        <f>H111-N111</f>
        <v>0</v>
      </c>
      <c r="P111" s="291" t="e">
        <f>O111/N111</f>
        <v>#DIV/0!</v>
      </c>
      <c r="Q111" s="333">
        <v>0</v>
      </c>
      <c r="R111" s="333">
        <f aca="true" t="shared" si="25" ref="R111:R124">H111-Q111</f>
        <v>0</v>
      </c>
      <c r="T111" s="279">
        <v>0</v>
      </c>
    </row>
    <row r="112" spans="1:20" ht="15">
      <c r="A112" s="75">
        <v>630</v>
      </c>
      <c r="B112" s="73">
        <v>300</v>
      </c>
      <c r="C112" s="76">
        <v>200</v>
      </c>
      <c r="D112" s="77">
        <v>100</v>
      </c>
      <c r="E112" s="77"/>
      <c r="F112" s="77"/>
      <c r="G112" s="65" t="s">
        <v>472</v>
      </c>
      <c r="H112" s="333">
        <v>0</v>
      </c>
      <c r="I112" s="333">
        <v>0</v>
      </c>
      <c r="J112" s="51"/>
      <c r="K112" s="64"/>
      <c r="L112" s="278">
        <f>H112-I112</f>
        <v>0</v>
      </c>
      <c r="M112" s="291" t="e">
        <f t="shared" si="24"/>
        <v>#DIV/0!</v>
      </c>
      <c r="N112" s="279">
        <v>0</v>
      </c>
      <c r="O112" s="278">
        <f>H112-N112</f>
        <v>0</v>
      </c>
      <c r="P112" s="291" t="e">
        <f>O112/N112</f>
        <v>#DIV/0!</v>
      </c>
      <c r="Q112" s="333">
        <v>0</v>
      </c>
      <c r="R112" s="333">
        <f t="shared" si="25"/>
        <v>0</v>
      </c>
      <c r="T112" s="279">
        <v>0</v>
      </c>
    </row>
    <row r="113" spans="1:20" ht="15">
      <c r="A113" s="75">
        <v>630</v>
      </c>
      <c r="B113" s="73">
        <v>300</v>
      </c>
      <c r="C113" s="76">
        <v>200</v>
      </c>
      <c r="D113" s="77">
        <v>150</v>
      </c>
      <c r="E113" s="77"/>
      <c r="F113" s="77"/>
      <c r="G113" s="65" t="s">
        <v>473</v>
      </c>
      <c r="H113" s="333">
        <v>0</v>
      </c>
      <c r="I113" s="333">
        <v>0</v>
      </c>
      <c r="J113" s="51"/>
      <c r="K113" s="64"/>
      <c r="L113" s="278">
        <f>H113-I113</f>
        <v>0</v>
      </c>
      <c r="M113" s="291" t="e">
        <f t="shared" si="24"/>
        <v>#DIV/0!</v>
      </c>
      <c r="N113" s="279">
        <v>0</v>
      </c>
      <c r="O113" s="278">
        <f>H113-N113</f>
        <v>0</v>
      </c>
      <c r="P113" s="291" t="e">
        <f>O113/N113</f>
        <v>#DIV/0!</v>
      </c>
      <c r="Q113" s="333">
        <v>0</v>
      </c>
      <c r="R113" s="333">
        <f t="shared" si="25"/>
        <v>0</v>
      </c>
      <c r="T113" s="279">
        <v>0</v>
      </c>
    </row>
    <row r="114" spans="1:20" ht="15">
      <c r="A114" s="75">
        <v>630</v>
      </c>
      <c r="B114" s="73">
        <v>300</v>
      </c>
      <c r="C114" s="76">
        <v>200</v>
      </c>
      <c r="D114" s="77">
        <v>200</v>
      </c>
      <c r="E114" s="77"/>
      <c r="F114" s="77"/>
      <c r="G114" s="65" t="s">
        <v>474</v>
      </c>
      <c r="H114" s="333">
        <v>0</v>
      </c>
      <c r="I114" s="333">
        <v>0</v>
      </c>
      <c r="J114" s="51"/>
      <c r="K114" s="64"/>
      <c r="L114" s="278">
        <f aca="true" t="shared" si="26" ref="L114:L122">H114-I114</f>
        <v>0</v>
      </c>
      <c r="M114" s="291" t="e">
        <f t="shared" si="24"/>
        <v>#DIV/0!</v>
      </c>
      <c r="N114" s="279">
        <v>0</v>
      </c>
      <c r="O114" s="278">
        <f aca="true" t="shared" si="27" ref="O114:O122">H114-N114</f>
        <v>0</v>
      </c>
      <c r="P114" s="291" t="e">
        <f aca="true" t="shared" si="28" ref="P114:P122">O114/N114</f>
        <v>#DIV/0!</v>
      </c>
      <c r="Q114" s="333">
        <v>0</v>
      </c>
      <c r="R114" s="333">
        <f t="shared" si="25"/>
        <v>0</v>
      </c>
      <c r="T114" s="279">
        <v>0</v>
      </c>
    </row>
    <row r="115" spans="1:20" ht="15">
      <c r="A115" s="75">
        <v>630</v>
      </c>
      <c r="B115" s="73">
        <v>300</v>
      </c>
      <c r="C115" s="76">
        <v>200</v>
      </c>
      <c r="D115" s="77">
        <v>250</v>
      </c>
      <c r="E115" s="77"/>
      <c r="F115" s="77"/>
      <c r="G115" s="65" t="s">
        <v>475</v>
      </c>
      <c r="H115" s="333">
        <v>0</v>
      </c>
      <c r="I115" s="333">
        <v>0</v>
      </c>
      <c r="J115" s="51"/>
      <c r="K115" s="64"/>
      <c r="L115" s="278">
        <f t="shared" si="26"/>
        <v>0</v>
      </c>
      <c r="M115" s="291" t="e">
        <f t="shared" si="24"/>
        <v>#DIV/0!</v>
      </c>
      <c r="N115" s="279">
        <v>0</v>
      </c>
      <c r="O115" s="278">
        <f t="shared" si="27"/>
        <v>0</v>
      </c>
      <c r="P115" s="291" t="e">
        <f t="shared" si="28"/>
        <v>#DIV/0!</v>
      </c>
      <c r="Q115" s="333">
        <v>0</v>
      </c>
      <c r="R115" s="333">
        <f t="shared" si="25"/>
        <v>0</v>
      </c>
      <c r="T115" s="279">
        <v>0</v>
      </c>
    </row>
    <row r="116" spans="1:20" ht="15">
      <c r="A116" s="75">
        <v>630</v>
      </c>
      <c r="B116" s="73">
        <v>300</v>
      </c>
      <c r="C116" s="76">
        <v>200</v>
      </c>
      <c r="D116" s="77">
        <v>300</v>
      </c>
      <c r="E116" s="77"/>
      <c r="F116" s="77"/>
      <c r="G116" s="65" t="s">
        <v>476</v>
      </c>
      <c r="H116" s="333">
        <v>0</v>
      </c>
      <c r="I116" s="333">
        <v>0</v>
      </c>
      <c r="J116" s="51"/>
      <c r="K116" s="64"/>
      <c r="L116" s="278">
        <f t="shared" si="26"/>
        <v>0</v>
      </c>
      <c r="M116" s="291" t="e">
        <f t="shared" si="24"/>
        <v>#DIV/0!</v>
      </c>
      <c r="N116" s="279">
        <v>0</v>
      </c>
      <c r="O116" s="278">
        <f t="shared" si="27"/>
        <v>0</v>
      </c>
      <c r="P116" s="291" t="e">
        <f t="shared" si="28"/>
        <v>#DIV/0!</v>
      </c>
      <c r="Q116" s="333">
        <v>0</v>
      </c>
      <c r="R116" s="333">
        <f t="shared" si="25"/>
        <v>0</v>
      </c>
      <c r="T116" s="279">
        <v>0</v>
      </c>
    </row>
    <row r="117" spans="1:20" ht="15">
      <c r="A117" s="75">
        <v>630</v>
      </c>
      <c r="B117" s="73">
        <v>300</v>
      </c>
      <c r="C117" s="76">
        <v>200</v>
      </c>
      <c r="D117" s="77">
        <v>350</v>
      </c>
      <c r="E117" s="77"/>
      <c r="F117" s="77"/>
      <c r="G117" s="65" t="s">
        <v>477</v>
      </c>
      <c r="H117" s="333">
        <v>0</v>
      </c>
      <c r="I117" s="333">
        <v>0</v>
      </c>
      <c r="J117" s="51"/>
      <c r="K117" s="64"/>
      <c r="L117" s="278">
        <f t="shared" si="26"/>
        <v>0</v>
      </c>
      <c r="M117" s="291" t="e">
        <f t="shared" si="24"/>
        <v>#DIV/0!</v>
      </c>
      <c r="N117" s="279">
        <v>0</v>
      </c>
      <c r="O117" s="278">
        <f t="shared" si="27"/>
        <v>0</v>
      </c>
      <c r="P117" s="291" t="e">
        <f t="shared" si="28"/>
        <v>#DIV/0!</v>
      </c>
      <c r="Q117" s="333">
        <v>0</v>
      </c>
      <c r="R117" s="333">
        <f t="shared" si="25"/>
        <v>0</v>
      </c>
      <c r="T117" s="279">
        <v>0</v>
      </c>
    </row>
    <row r="118" spans="1:20" ht="15">
      <c r="A118" s="75">
        <v>630</v>
      </c>
      <c r="B118" s="73">
        <v>300</v>
      </c>
      <c r="C118" s="76">
        <v>200</v>
      </c>
      <c r="D118" s="77">
        <v>400</v>
      </c>
      <c r="E118" s="77"/>
      <c r="F118" s="77"/>
      <c r="G118" s="65" t="s">
        <v>478</v>
      </c>
      <c r="H118" s="333">
        <v>0</v>
      </c>
      <c r="I118" s="333">
        <v>0</v>
      </c>
      <c r="J118" s="51"/>
      <c r="K118" s="64"/>
      <c r="L118" s="278">
        <f t="shared" si="26"/>
        <v>0</v>
      </c>
      <c r="M118" s="291" t="e">
        <f t="shared" si="24"/>
        <v>#DIV/0!</v>
      </c>
      <c r="N118" s="279">
        <v>0</v>
      </c>
      <c r="O118" s="278">
        <f t="shared" si="27"/>
        <v>0</v>
      </c>
      <c r="P118" s="291" t="e">
        <f t="shared" si="28"/>
        <v>#DIV/0!</v>
      </c>
      <c r="Q118" s="333">
        <v>0</v>
      </c>
      <c r="R118" s="333">
        <f t="shared" si="25"/>
        <v>0</v>
      </c>
      <c r="T118" s="279">
        <v>0</v>
      </c>
    </row>
    <row r="119" spans="1:20" ht="15">
      <c r="A119" s="75">
        <v>630</v>
      </c>
      <c r="B119" s="73">
        <v>300</v>
      </c>
      <c r="C119" s="76">
        <v>200</v>
      </c>
      <c r="D119" s="77">
        <v>450</v>
      </c>
      <c r="E119" s="77"/>
      <c r="F119" s="77"/>
      <c r="G119" s="65" t="s">
        <v>479</v>
      </c>
      <c r="H119" s="333">
        <v>0</v>
      </c>
      <c r="I119" s="333">
        <v>0</v>
      </c>
      <c r="J119" s="51"/>
      <c r="K119" s="64"/>
      <c r="L119" s="278">
        <f t="shared" si="26"/>
        <v>0</v>
      </c>
      <c r="M119" s="291" t="e">
        <f t="shared" si="24"/>
        <v>#DIV/0!</v>
      </c>
      <c r="N119" s="279">
        <v>0</v>
      </c>
      <c r="O119" s="278">
        <f t="shared" si="27"/>
        <v>0</v>
      </c>
      <c r="P119" s="291" t="e">
        <f t="shared" si="28"/>
        <v>#DIV/0!</v>
      </c>
      <c r="Q119" s="333">
        <v>0</v>
      </c>
      <c r="R119" s="333">
        <f t="shared" si="25"/>
        <v>0</v>
      </c>
      <c r="T119" s="279">
        <v>0</v>
      </c>
    </row>
    <row r="120" spans="1:20" ht="15">
      <c r="A120" s="75">
        <v>630</v>
      </c>
      <c r="B120" s="73">
        <v>300</v>
      </c>
      <c r="C120" s="76">
        <v>200</v>
      </c>
      <c r="D120" s="77">
        <v>500</v>
      </c>
      <c r="E120" s="77"/>
      <c r="F120" s="77"/>
      <c r="G120" s="65" t="s">
        <v>480</v>
      </c>
      <c r="H120" s="333">
        <v>0</v>
      </c>
      <c r="I120" s="333">
        <v>0</v>
      </c>
      <c r="J120" s="51"/>
      <c r="K120" s="64"/>
      <c r="L120" s="278">
        <f t="shared" si="26"/>
        <v>0</v>
      </c>
      <c r="M120" s="291" t="e">
        <f t="shared" si="24"/>
        <v>#DIV/0!</v>
      </c>
      <c r="N120" s="279">
        <v>0</v>
      </c>
      <c r="O120" s="278">
        <f t="shared" si="27"/>
        <v>0</v>
      </c>
      <c r="P120" s="291" t="e">
        <f t="shared" si="28"/>
        <v>#DIV/0!</v>
      </c>
      <c r="Q120" s="333">
        <v>0</v>
      </c>
      <c r="R120" s="333">
        <f t="shared" si="25"/>
        <v>0</v>
      </c>
      <c r="T120" s="279">
        <v>0</v>
      </c>
    </row>
    <row r="121" spans="1:20" ht="15">
      <c r="A121" s="75">
        <v>630</v>
      </c>
      <c r="B121" s="73">
        <v>300</v>
      </c>
      <c r="C121" s="76">
        <v>200</v>
      </c>
      <c r="D121" s="77">
        <v>550</v>
      </c>
      <c r="E121" s="77"/>
      <c r="F121" s="77"/>
      <c r="G121" s="65" t="s">
        <v>481</v>
      </c>
      <c r="H121" s="333">
        <v>0</v>
      </c>
      <c r="I121" s="333">
        <v>0</v>
      </c>
      <c r="J121" s="51"/>
      <c r="K121" s="64"/>
      <c r="L121" s="278">
        <f t="shared" si="26"/>
        <v>0</v>
      </c>
      <c r="M121" s="291" t="e">
        <f t="shared" si="24"/>
        <v>#DIV/0!</v>
      </c>
      <c r="N121" s="279">
        <v>0</v>
      </c>
      <c r="O121" s="278">
        <f t="shared" si="27"/>
        <v>0</v>
      </c>
      <c r="P121" s="291" t="e">
        <f t="shared" si="28"/>
        <v>#DIV/0!</v>
      </c>
      <c r="Q121" s="333">
        <v>0</v>
      </c>
      <c r="R121" s="333">
        <f t="shared" si="25"/>
        <v>0</v>
      </c>
      <c r="T121" s="279">
        <v>0</v>
      </c>
    </row>
    <row r="122" spans="1:20" ht="15">
      <c r="A122" s="75">
        <v>630</v>
      </c>
      <c r="B122" s="73">
        <v>300</v>
      </c>
      <c r="C122" s="76">
        <v>200</v>
      </c>
      <c r="D122" s="77">
        <v>600</v>
      </c>
      <c r="E122" s="77"/>
      <c r="F122" s="77"/>
      <c r="G122" s="65" t="s">
        <v>482</v>
      </c>
      <c r="H122" s="333">
        <v>0</v>
      </c>
      <c r="I122" s="333">
        <v>0</v>
      </c>
      <c r="J122" s="51"/>
      <c r="K122" s="64"/>
      <c r="L122" s="278">
        <f t="shared" si="26"/>
        <v>0</v>
      </c>
      <c r="M122" s="291" t="e">
        <f t="shared" si="24"/>
        <v>#DIV/0!</v>
      </c>
      <c r="N122" s="279">
        <v>0</v>
      </c>
      <c r="O122" s="278">
        <f t="shared" si="27"/>
        <v>0</v>
      </c>
      <c r="P122" s="291" t="e">
        <f t="shared" si="28"/>
        <v>#DIV/0!</v>
      </c>
      <c r="Q122" s="333">
        <v>0</v>
      </c>
      <c r="R122" s="333">
        <f t="shared" si="25"/>
        <v>0</v>
      </c>
      <c r="T122" s="279">
        <v>0</v>
      </c>
    </row>
    <row r="123" spans="1:20" ht="15">
      <c r="A123" s="75">
        <v>630</v>
      </c>
      <c r="B123" s="73">
        <v>300</v>
      </c>
      <c r="C123" s="76">
        <v>200</v>
      </c>
      <c r="D123" s="77">
        <v>650</v>
      </c>
      <c r="E123" s="77"/>
      <c r="F123" s="77"/>
      <c r="G123" s="65" t="s">
        <v>483</v>
      </c>
      <c r="H123" s="333">
        <v>0</v>
      </c>
      <c r="I123" s="333">
        <v>0</v>
      </c>
      <c r="J123" s="51"/>
      <c r="K123" s="64"/>
      <c r="L123" s="278">
        <f aca="true" t="shared" si="29" ref="L123:L130">H123-I123</f>
        <v>0</v>
      </c>
      <c r="M123" s="291" t="e">
        <f t="shared" si="24"/>
        <v>#DIV/0!</v>
      </c>
      <c r="N123" s="279">
        <v>0</v>
      </c>
      <c r="O123" s="278">
        <f aca="true" t="shared" si="30" ref="O123:O130">H123-N123</f>
        <v>0</v>
      </c>
      <c r="P123" s="291" t="e">
        <f aca="true" t="shared" si="31" ref="P123:P130">O123/N123</f>
        <v>#DIV/0!</v>
      </c>
      <c r="Q123" s="333">
        <v>0</v>
      </c>
      <c r="R123" s="333">
        <f t="shared" si="25"/>
        <v>0</v>
      </c>
      <c r="T123" s="279">
        <v>0</v>
      </c>
    </row>
    <row r="124" spans="1:20" ht="15">
      <c r="A124" s="75">
        <v>630</v>
      </c>
      <c r="B124" s="73">
        <v>300</v>
      </c>
      <c r="C124" s="76">
        <v>200</v>
      </c>
      <c r="D124" s="77">
        <v>700</v>
      </c>
      <c r="E124" s="77"/>
      <c r="F124" s="77"/>
      <c r="G124" s="65" t="s">
        <v>484</v>
      </c>
      <c r="H124" s="333">
        <v>0</v>
      </c>
      <c r="I124" s="333">
        <v>0</v>
      </c>
      <c r="J124" s="51"/>
      <c r="K124" s="64"/>
      <c r="L124" s="278">
        <f t="shared" si="29"/>
        <v>0</v>
      </c>
      <c r="M124" s="291" t="e">
        <f t="shared" si="24"/>
        <v>#DIV/0!</v>
      </c>
      <c r="N124" s="279">
        <v>0</v>
      </c>
      <c r="O124" s="278">
        <f t="shared" si="30"/>
        <v>0</v>
      </c>
      <c r="P124" s="291" t="e">
        <f t="shared" si="31"/>
        <v>#DIV/0!</v>
      </c>
      <c r="Q124" s="333">
        <v>0</v>
      </c>
      <c r="R124" s="333">
        <f t="shared" si="25"/>
        <v>0</v>
      </c>
      <c r="T124" s="279">
        <v>0</v>
      </c>
    </row>
    <row r="125" spans="1:20" ht="15">
      <c r="A125" s="75">
        <v>630</v>
      </c>
      <c r="B125" s="73">
        <v>300</v>
      </c>
      <c r="C125" s="76">
        <v>200</v>
      </c>
      <c r="D125" s="76">
        <v>750</v>
      </c>
      <c r="E125" s="76"/>
      <c r="F125" s="76"/>
      <c r="G125" s="66" t="s">
        <v>485</v>
      </c>
      <c r="H125" s="334"/>
      <c r="I125" s="334"/>
      <c r="J125" s="51"/>
      <c r="K125" s="64"/>
      <c r="L125" s="272"/>
      <c r="M125" s="272"/>
      <c r="N125" s="272"/>
      <c r="O125" s="272"/>
      <c r="P125" s="272"/>
      <c r="Q125" s="334"/>
      <c r="R125" s="292"/>
      <c r="T125" s="272"/>
    </row>
    <row r="126" spans="1:20" ht="15">
      <c r="A126" s="75">
        <v>630</v>
      </c>
      <c r="B126" s="73">
        <v>300</v>
      </c>
      <c r="C126" s="76">
        <v>200</v>
      </c>
      <c r="D126" s="76">
        <v>750</v>
      </c>
      <c r="E126" s="77">
        <v>10</v>
      </c>
      <c r="F126" s="77"/>
      <c r="G126" s="65" t="s">
        <v>486</v>
      </c>
      <c r="H126" s="333">
        <v>0</v>
      </c>
      <c r="I126" s="333">
        <v>0</v>
      </c>
      <c r="J126" s="51"/>
      <c r="K126" s="64"/>
      <c r="L126" s="278">
        <f t="shared" si="29"/>
        <v>0</v>
      </c>
      <c r="M126" s="291" t="e">
        <f aca="true" t="shared" si="32" ref="M126:M134">L126/I126</f>
        <v>#DIV/0!</v>
      </c>
      <c r="N126" s="279">
        <v>0</v>
      </c>
      <c r="O126" s="278">
        <f t="shared" si="30"/>
        <v>0</v>
      </c>
      <c r="P126" s="291" t="e">
        <f t="shared" si="31"/>
        <v>#DIV/0!</v>
      </c>
      <c r="Q126" s="333">
        <v>0</v>
      </c>
      <c r="R126" s="333">
        <f aca="true" t="shared" si="33" ref="R126:R134">H126-Q126</f>
        <v>0</v>
      </c>
      <c r="T126" s="279">
        <v>0</v>
      </c>
    </row>
    <row r="127" spans="1:20" ht="15">
      <c r="A127" s="75">
        <v>630</v>
      </c>
      <c r="B127" s="73">
        <v>300</v>
      </c>
      <c r="C127" s="76">
        <v>200</v>
      </c>
      <c r="D127" s="76">
        <v>750</v>
      </c>
      <c r="E127" s="77">
        <v>20</v>
      </c>
      <c r="F127" s="77"/>
      <c r="G127" s="65" t="s">
        <v>487</v>
      </c>
      <c r="H127" s="333">
        <v>0</v>
      </c>
      <c r="I127" s="333">
        <v>0</v>
      </c>
      <c r="J127" s="51"/>
      <c r="K127" s="64"/>
      <c r="L127" s="278">
        <f t="shared" si="29"/>
        <v>0</v>
      </c>
      <c r="M127" s="291" t="e">
        <f t="shared" si="32"/>
        <v>#DIV/0!</v>
      </c>
      <c r="N127" s="279">
        <v>0</v>
      </c>
      <c r="O127" s="278">
        <f t="shared" si="30"/>
        <v>0</v>
      </c>
      <c r="P127" s="291" t="e">
        <f t="shared" si="31"/>
        <v>#DIV/0!</v>
      </c>
      <c r="Q127" s="333">
        <v>0</v>
      </c>
      <c r="R127" s="333">
        <f t="shared" si="33"/>
        <v>0</v>
      </c>
      <c r="T127" s="279">
        <v>0</v>
      </c>
    </row>
    <row r="128" spans="1:20" ht="15">
      <c r="A128" s="75">
        <v>630</v>
      </c>
      <c r="B128" s="73">
        <v>300</v>
      </c>
      <c r="C128" s="76">
        <v>200</v>
      </c>
      <c r="D128" s="77">
        <v>900</v>
      </c>
      <c r="E128" s="77"/>
      <c r="F128" s="77"/>
      <c r="G128" s="65" t="s">
        <v>488</v>
      </c>
      <c r="H128" s="333">
        <v>0</v>
      </c>
      <c r="I128" s="333">
        <v>0</v>
      </c>
      <c r="J128" s="51"/>
      <c r="K128" s="64"/>
      <c r="L128" s="278">
        <f t="shared" si="29"/>
        <v>0</v>
      </c>
      <c r="M128" s="291" t="e">
        <f t="shared" si="32"/>
        <v>#DIV/0!</v>
      </c>
      <c r="N128" s="279">
        <v>0</v>
      </c>
      <c r="O128" s="278">
        <f t="shared" si="30"/>
        <v>0</v>
      </c>
      <c r="P128" s="291" t="e">
        <f t="shared" si="31"/>
        <v>#DIV/0!</v>
      </c>
      <c r="Q128" s="333">
        <v>0</v>
      </c>
      <c r="R128" s="333">
        <f t="shared" si="33"/>
        <v>0</v>
      </c>
      <c r="T128" s="279">
        <v>0</v>
      </c>
    </row>
    <row r="129" spans="1:20" ht="15">
      <c r="A129" s="75">
        <v>630</v>
      </c>
      <c r="B129" s="73">
        <v>300</v>
      </c>
      <c r="C129" s="77">
        <v>300</v>
      </c>
      <c r="D129" s="77"/>
      <c r="E129" s="77"/>
      <c r="F129" s="77"/>
      <c r="G129" s="65" t="s">
        <v>489</v>
      </c>
      <c r="H129" s="333">
        <v>0</v>
      </c>
      <c r="I129" s="333">
        <v>0</v>
      </c>
      <c r="J129" s="51"/>
      <c r="K129" s="64"/>
      <c r="L129" s="278">
        <f t="shared" si="29"/>
        <v>0</v>
      </c>
      <c r="M129" s="291" t="e">
        <f t="shared" si="32"/>
        <v>#DIV/0!</v>
      </c>
      <c r="N129" s="279">
        <v>0</v>
      </c>
      <c r="O129" s="278">
        <f t="shared" si="30"/>
        <v>0</v>
      </c>
      <c r="P129" s="291" t="e">
        <f t="shared" si="31"/>
        <v>#DIV/0!</v>
      </c>
      <c r="Q129" s="333">
        <v>0</v>
      </c>
      <c r="R129" s="333">
        <f t="shared" si="33"/>
        <v>0</v>
      </c>
      <c r="T129" s="279">
        <v>0</v>
      </c>
    </row>
    <row r="130" spans="1:20" ht="15">
      <c r="A130" s="75">
        <v>630</v>
      </c>
      <c r="B130" s="73">
        <v>300</v>
      </c>
      <c r="C130" s="77">
        <v>400</v>
      </c>
      <c r="D130" s="77"/>
      <c r="E130" s="77"/>
      <c r="F130" s="77"/>
      <c r="G130" s="65" t="s">
        <v>490</v>
      </c>
      <c r="H130" s="333">
        <v>8640</v>
      </c>
      <c r="I130" s="333">
        <v>0</v>
      </c>
      <c r="J130" s="51"/>
      <c r="K130" s="64"/>
      <c r="L130" s="278">
        <f t="shared" si="29"/>
        <v>8640</v>
      </c>
      <c r="M130" s="291" t="e">
        <f t="shared" si="32"/>
        <v>#DIV/0!</v>
      </c>
      <c r="N130" s="279">
        <v>0</v>
      </c>
      <c r="O130" s="278">
        <f t="shared" si="30"/>
        <v>8640</v>
      </c>
      <c r="P130" s="291" t="e">
        <f t="shared" si="31"/>
        <v>#DIV/0!</v>
      </c>
      <c r="Q130" s="333">
        <v>0</v>
      </c>
      <c r="R130" s="333">
        <f t="shared" si="33"/>
        <v>8640</v>
      </c>
      <c r="T130" s="279">
        <v>0</v>
      </c>
    </row>
    <row r="131" spans="1:21" ht="15">
      <c r="A131" s="75">
        <v>630</v>
      </c>
      <c r="B131" s="73">
        <v>300</v>
      </c>
      <c r="C131" s="77">
        <v>500</v>
      </c>
      <c r="D131" s="77"/>
      <c r="E131" s="77"/>
      <c r="F131" s="77"/>
      <c r="G131" s="65" t="s">
        <v>491</v>
      </c>
      <c r="H131" s="333">
        <v>4570</v>
      </c>
      <c r="I131" s="333">
        <f>4795-4795</f>
        <v>0</v>
      </c>
      <c r="J131" s="51"/>
      <c r="K131" s="64"/>
      <c r="L131" s="278">
        <f>H131-I131</f>
        <v>4570</v>
      </c>
      <c r="M131" s="291" t="e">
        <f t="shared" si="32"/>
        <v>#DIV/0!</v>
      </c>
      <c r="N131" s="279">
        <v>5700</v>
      </c>
      <c r="O131" s="278">
        <f>H131-N131</f>
        <v>-1130</v>
      </c>
      <c r="P131" s="291">
        <f>O131/N131</f>
        <v>-0.1982</v>
      </c>
      <c r="Q131" s="333">
        <v>4700</v>
      </c>
      <c r="R131" s="333">
        <f t="shared" si="33"/>
        <v>-130</v>
      </c>
      <c r="T131" s="279">
        <v>4795</v>
      </c>
      <c r="U131" s="67" t="s">
        <v>660</v>
      </c>
    </row>
    <row r="132" spans="1:20" ht="15">
      <c r="A132" s="75">
        <v>630</v>
      </c>
      <c r="B132" s="73">
        <v>300</v>
      </c>
      <c r="C132" s="77">
        <v>600</v>
      </c>
      <c r="D132" s="77"/>
      <c r="E132" s="77"/>
      <c r="F132" s="77"/>
      <c r="G132" s="65" t="s">
        <v>492</v>
      </c>
      <c r="H132" s="333">
        <v>0</v>
      </c>
      <c r="I132" s="333">
        <v>0</v>
      </c>
      <c r="J132" s="51"/>
      <c r="K132" s="64"/>
      <c r="L132" s="278">
        <f>H132-I132</f>
        <v>0</v>
      </c>
      <c r="M132" s="291" t="e">
        <f t="shared" si="32"/>
        <v>#DIV/0!</v>
      </c>
      <c r="N132" s="279">
        <v>0</v>
      </c>
      <c r="O132" s="278">
        <f>H132-N132</f>
        <v>0</v>
      </c>
      <c r="P132" s="291" t="e">
        <f>O132/N132</f>
        <v>#DIV/0!</v>
      </c>
      <c r="Q132" s="333">
        <v>0</v>
      </c>
      <c r="R132" s="333">
        <f t="shared" si="33"/>
        <v>0</v>
      </c>
      <c r="T132" s="279">
        <v>0</v>
      </c>
    </row>
    <row r="133" spans="1:20" ht="15">
      <c r="A133" s="75">
        <v>630</v>
      </c>
      <c r="B133" s="73">
        <v>300</v>
      </c>
      <c r="C133" s="77">
        <v>700</v>
      </c>
      <c r="D133" s="77"/>
      <c r="E133" s="77"/>
      <c r="F133" s="77"/>
      <c r="G133" s="65" t="s">
        <v>493</v>
      </c>
      <c r="H133" s="333">
        <v>707506</v>
      </c>
      <c r="I133" s="333">
        <v>0</v>
      </c>
      <c r="J133" s="51"/>
      <c r="K133" s="64"/>
      <c r="L133" s="278">
        <f>H133-I133</f>
        <v>707506</v>
      </c>
      <c r="M133" s="291" t="e">
        <f t="shared" si="32"/>
        <v>#DIV/0!</v>
      </c>
      <c r="N133" s="279">
        <v>0</v>
      </c>
      <c r="O133" s="278">
        <f>H133-N133</f>
        <v>707506</v>
      </c>
      <c r="P133" s="291" t="e">
        <f>O133/N133</f>
        <v>#DIV/0!</v>
      </c>
      <c r="Q133" s="333">
        <v>0</v>
      </c>
      <c r="R133" s="333">
        <f t="shared" si="33"/>
        <v>707506</v>
      </c>
      <c r="T133" s="279">
        <v>0</v>
      </c>
    </row>
    <row r="134" spans="1:20" ht="15">
      <c r="A134" s="75">
        <v>630</v>
      </c>
      <c r="B134" s="73">
        <v>300</v>
      </c>
      <c r="C134" s="77">
        <v>800</v>
      </c>
      <c r="D134" s="77"/>
      <c r="E134" s="77"/>
      <c r="F134" s="77"/>
      <c r="G134" s="65" t="s">
        <v>494</v>
      </c>
      <c r="H134" s="333">
        <v>0</v>
      </c>
      <c r="I134" s="333">
        <v>0</v>
      </c>
      <c r="J134" s="51"/>
      <c r="K134" s="64"/>
      <c r="L134" s="278">
        <f>H134-I134</f>
        <v>0</v>
      </c>
      <c r="M134" s="291" t="e">
        <f t="shared" si="32"/>
        <v>#DIV/0!</v>
      </c>
      <c r="N134" s="279">
        <v>0</v>
      </c>
      <c r="O134" s="278">
        <f>H134-N134</f>
        <v>0</v>
      </c>
      <c r="P134" s="291" t="e">
        <f>O134/N134</f>
        <v>#DIV/0!</v>
      </c>
      <c r="Q134" s="333">
        <v>0</v>
      </c>
      <c r="R134" s="333">
        <f t="shared" si="33"/>
        <v>0</v>
      </c>
      <c r="T134" s="279">
        <v>0</v>
      </c>
    </row>
    <row r="135" spans="1:20" ht="15">
      <c r="A135" s="75">
        <v>630</v>
      </c>
      <c r="B135" s="73">
        <v>300</v>
      </c>
      <c r="C135" s="76">
        <v>900</v>
      </c>
      <c r="D135" s="76"/>
      <c r="E135" s="76"/>
      <c r="F135" s="76"/>
      <c r="G135" s="66" t="s">
        <v>495</v>
      </c>
      <c r="H135" s="334"/>
      <c r="I135" s="337"/>
      <c r="J135" s="51"/>
      <c r="K135" s="64"/>
      <c r="L135" s="272"/>
      <c r="M135" s="272"/>
      <c r="N135" s="272"/>
      <c r="O135" s="272"/>
      <c r="P135" s="272"/>
      <c r="Q135" s="334"/>
      <c r="R135" s="292"/>
      <c r="T135" s="149"/>
    </row>
    <row r="136" spans="1:20" ht="15">
      <c r="A136" s="75">
        <v>630</v>
      </c>
      <c r="B136" s="73">
        <v>300</v>
      </c>
      <c r="C136" s="76">
        <v>900</v>
      </c>
      <c r="D136" s="77">
        <v>100</v>
      </c>
      <c r="E136" s="77"/>
      <c r="F136" s="77"/>
      <c r="G136" s="65" t="s">
        <v>496</v>
      </c>
      <c r="H136" s="333">
        <v>0</v>
      </c>
      <c r="I136" s="333">
        <v>0</v>
      </c>
      <c r="J136" s="51"/>
      <c r="K136" s="64"/>
      <c r="L136" s="278">
        <f>H136-I136</f>
        <v>0</v>
      </c>
      <c r="M136" s="291" t="e">
        <f>L136/I136</f>
        <v>#DIV/0!</v>
      </c>
      <c r="N136" s="279">
        <v>0</v>
      </c>
      <c r="O136" s="278">
        <f>H136-N136</f>
        <v>0</v>
      </c>
      <c r="P136" s="291" t="e">
        <f>O136/N136</f>
        <v>#DIV/0!</v>
      </c>
      <c r="Q136" s="333">
        <v>0</v>
      </c>
      <c r="R136" s="333">
        <f>H136-Q136</f>
        <v>0</v>
      </c>
      <c r="T136" s="279">
        <v>0</v>
      </c>
    </row>
    <row r="137" spans="1:20" ht="15">
      <c r="A137" s="75">
        <v>630</v>
      </c>
      <c r="B137" s="73">
        <v>300</v>
      </c>
      <c r="C137" s="76">
        <v>900</v>
      </c>
      <c r="D137" s="77">
        <v>900</v>
      </c>
      <c r="E137" s="77"/>
      <c r="F137" s="77"/>
      <c r="G137" s="65" t="s">
        <v>497</v>
      </c>
      <c r="H137" s="333">
        <v>0</v>
      </c>
      <c r="I137" s="333">
        <v>0</v>
      </c>
      <c r="J137" s="51"/>
      <c r="K137" s="64"/>
      <c r="L137" s="278">
        <f>H137-I137</f>
        <v>0</v>
      </c>
      <c r="M137" s="291" t="e">
        <f>L137/I137</f>
        <v>#DIV/0!</v>
      </c>
      <c r="N137" s="279">
        <v>0</v>
      </c>
      <c r="O137" s="278">
        <f>H137-N137</f>
        <v>0</v>
      </c>
      <c r="P137" s="291" t="e">
        <f>O137/N137</f>
        <v>#DIV/0!</v>
      </c>
      <c r="Q137" s="333">
        <v>0</v>
      </c>
      <c r="R137" s="333">
        <f>H137-Q137</f>
        <v>0</v>
      </c>
      <c r="T137" s="279">
        <v>0</v>
      </c>
    </row>
    <row r="138" spans="1:20" ht="15">
      <c r="A138" s="75">
        <v>630</v>
      </c>
      <c r="B138" s="73">
        <v>400</v>
      </c>
      <c r="C138" s="76"/>
      <c r="D138" s="73"/>
      <c r="E138" s="73"/>
      <c r="F138" s="73"/>
      <c r="G138" s="66" t="s">
        <v>498</v>
      </c>
      <c r="H138" s="337"/>
      <c r="I138" s="337"/>
      <c r="J138" s="147"/>
      <c r="K138" s="296"/>
      <c r="L138" s="272"/>
      <c r="M138" s="272"/>
      <c r="N138" s="272"/>
      <c r="O138" s="272"/>
      <c r="P138" s="272"/>
      <c r="Q138" s="334"/>
      <c r="R138" s="292"/>
      <c r="T138" s="149"/>
    </row>
    <row r="139" spans="1:20" ht="15">
      <c r="A139" s="75">
        <v>630</v>
      </c>
      <c r="B139" s="73">
        <v>400</v>
      </c>
      <c r="C139" s="74">
        <v>100</v>
      </c>
      <c r="D139" s="74"/>
      <c r="E139" s="74"/>
      <c r="F139" s="74"/>
      <c r="G139" s="65" t="s">
        <v>499</v>
      </c>
      <c r="H139" s="335">
        <v>0</v>
      </c>
      <c r="I139" s="333">
        <v>0</v>
      </c>
      <c r="J139" s="147" t="s">
        <v>52</v>
      </c>
      <c r="K139" s="296"/>
      <c r="L139" s="278">
        <f>H139-I139</f>
        <v>0</v>
      </c>
      <c r="M139" s="291" t="e">
        <f aca="true" t="shared" si="34" ref="M139:M145">L139/I139</f>
        <v>#DIV/0!</v>
      </c>
      <c r="N139" s="278">
        <v>0</v>
      </c>
      <c r="O139" s="278">
        <f>H139-N139</f>
        <v>0</v>
      </c>
      <c r="P139" s="291" t="e">
        <f>O139/N139</f>
        <v>#DIV/0!</v>
      </c>
      <c r="Q139" s="335">
        <v>0</v>
      </c>
      <c r="R139" s="333">
        <f aca="true" t="shared" si="35" ref="R139:R145">H139-Q139</f>
        <v>0</v>
      </c>
      <c r="T139" s="279">
        <v>0</v>
      </c>
    </row>
    <row r="140" spans="1:20" ht="15">
      <c r="A140" s="75">
        <v>630</v>
      </c>
      <c r="B140" s="73">
        <v>400</v>
      </c>
      <c r="C140" s="74">
        <v>200</v>
      </c>
      <c r="D140" s="74"/>
      <c r="E140" s="74"/>
      <c r="F140" s="74"/>
      <c r="G140" s="65" t="s">
        <v>500</v>
      </c>
      <c r="H140" s="335">
        <v>1081900</v>
      </c>
      <c r="I140" s="333">
        <v>1166723</v>
      </c>
      <c r="J140" s="147" t="s">
        <v>53</v>
      </c>
      <c r="K140" s="296"/>
      <c r="L140" s="278">
        <f aca="true" t="shared" si="36" ref="L140:L145">H140-I140</f>
        <v>-84823</v>
      </c>
      <c r="M140" s="291">
        <f t="shared" si="34"/>
        <v>-0.0727</v>
      </c>
      <c r="N140" s="278">
        <v>1200000</v>
      </c>
      <c r="O140" s="278">
        <f aca="true" t="shared" si="37" ref="O140:O145">H140-N140</f>
        <v>-118100</v>
      </c>
      <c r="P140" s="291">
        <f aca="true" t="shared" si="38" ref="P140:P145">O140/N140</f>
        <v>-0.0984</v>
      </c>
      <c r="Q140" s="335">
        <v>1200000</v>
      </c>
      <c r="R140" s="333">
        <f t="shared" si="35"/>
        <v>-118100</v>
      </c>
      <c r="T140" s="279">
        <v>1166723</v>
      </c>
    </row>
    <row r="141" spans="1:20" ht="15">
      <c r="A141" s="75">
        <v>630</v>
      </c>
      <c r="B141" s="73">
        <v>400</v>
      </c>
      <c r="C141" s="74">
        <v>300</v>
      </c>
      <c r="D141" s="74"/>
      <c r="E141" s="74"/>
      <c r="F141" s="74"/>
      <c r="G141" s="65" t="s">
        <v>501</v>
      </c>
      <c r="H141" s="335">
        <v>0</v>
      </c>
      <c r="I141" s="333">
        <v>0</v>
      </c>
      <c r="J141" s="147" t="s">
        <v>54</v>
      </c>
      <c r="K141" s="296"/>
      <c r="L141" s="278">
        <f t="shared" si="36"/>
        <v>0</v>
      </c>
      <c r="M141" s="291" t="e">
        <f t="shared" si="34"/>
        <v>#DIV/0!</v>
      </c>
      <c r="N141" s="278">
        <v>0</v>
      </c>
      <c r="O141" s="278">
        <f t="shared" si="37"/>
        <v>0</v>
      </c>
      <c r="P141" s="291" t="e">
        <f t="shared" si="38"/>
        <v>#DIV/0!</v>
      </c>
      <c r="Q141" s="335">
        <v>0</v>
      </c>
      <c r="R141" s="333">
        <f t="shared" si="35"/>
        <v>0</v>
      </c>
      <c r="T141" s="279">
        <v>0</v>
      </c>
    </row>
    <row r="142" spans="1:20" ht="25.5">
      <c r="A142" s="75">
        <v>630</v>
      </c>
      <c r="B142" s="73">
        <v>400</v>
      </c>
      <c r="C142" s="74">
        <v>400</v>
      </c>
      <c r="D142" s="74"/>
      <c r="E142" s="74"/>
      <c r="F142" s="74"/>
      <c r="G142" s="65" t="s">
        <v>502</v>
      </c>
      <c r="H142" s="335">
        <v>91778</v>
      </c>
      <c r="I142" s="333">
        <v>83274</v>
      </c>
      <c r="J142" s="147" t="s">
        <v>55</v>
      </c>
      <c r="K142" s="296"/>
      <c r="L142" s="278">
        <f t="shared" si="36"/>
        <v>8504</v>
      </c>
      <c r="M142" s="291">
        <f t="shared" si="34"/>
        <v>0.1021</v>
      </c>
      <c r="N142" s="278">
        <v>55000</v>
      </c>
      <c r="O142" s="278">
        <f t="shared" si="37"/>
        <v>36778</v>
      </c>
      <c r="P142" s="291">
        <f t="shared" si="38"/>
        <v>0.6687</v>
      </c>
      <c r="Q142" s="335">
        <v>75000</v>
      </c>
      <c r="R142" s="333">
        <f t="shared" si="35"/>
        <v>16778</v>
      </c>
      <c r="T142" s="279">
        <v>83274</v>
      </c>
    </row>
    <row r="143" spans="1:20" ht="38.25">
      <c r="A143" s="75">
        <v>630</v>
      </c>
      <c r="B143" s="73">
        <v>400</v>
      </c>
      <c r="C143" s="74">
        <v>500</v>
      </c>
      <c r="D143" s="74"/>
      <c r="E143" s="74"/>
      <c r="F143" s="74"/>
      <c r="G143" s="65" t="s">
        <v>503</v>
      </c>
      <c r="H143" s="335">
        <v>202056</v>
      </c>
      <c r="I143" s="333">
        <v>151329</v>
      </c>
      <c r="J143" s="147" t="s">
        <v>56</v>
      </c>
      <c r="K143" s="296"/>
      <c r="L143" s="278">
        <f t="shared" si="36"/>
        <v>50727</v>
      </c>
      <c r="M143" s="291">
        <f t="shared" si="34"/>
        <v>0.3352</v>
      </c>
      <c r="N143" s="278">
        <f>90000-9000</f>
        <v>81000</v>
      </c>
      <c r="O143" s="278">
        <f t="shared" si="37"/>
        <v>121056</v>
      </c>
      <c r="P143" s="291">
        <f t="shared" si="38"/>
        <v>1.4945</v>
      </c>
      <c r="Q143" s="335">
        <v>140000</v>
      </c>
      <c r="R143" s="333">
        <f t="shared" si="35"/>
        <v>62056</v>
      </c>
      <c r="T143" s="279">
        <v>151329</v>
      </c>
    </row>
    <row r="144" spans="1:20" ht="15">
      <c r="A144" s="75">
        <v>630</v>
      </c>
      <c r="B144" s="73">
        <v>400</v>
      </c>
      <c r="C144" s="74">
        <v>600</v>
      </c>
      <c r="D144" s="74"/>
      <c r="E144" s="74"/>
      <c r="F144" s="74"/>
      <c r="G144" s="65" t="s">
        <v>504</v>
      </c>
      <c r="H144" s="335">
        <v>6600</v>
      </c>
      <c r="I144" s="333">
        <v>16200</v>
      </c>
      <c r="J144" s="147" t="s">
        <v>57</v>
      </c>
      <c r="K144" s="296"/>
      <c r="L144" s="278">
        <f t="shared" si="36"/>
        <v>-9600</v>
      </c>
      <c r="M144" s="291">
        <f t="shared" si="34"/>
        <v>-0.5926</v>
      </c>
      <c r="N144" s="278">
        <v>5000</v>
      </c>
      <c r="O144" s="278">
        <f t="shared" si="37"/>
        <v>1600</v>
      </c>
      <c r="P144" s="291">
        <f t="shared" si="38"/>
        <v>0.32</v>
      </c>
      <c r="Q144" s="335">
        <v>5000</v>
      </c>
      <c r="R144" s="333">
        <f t="shared" si="35"/>
        <v>1600</v>
      </c>
      <c r="T144" s="279">
        <v>16200</v>
      </c>
    </row>
    <row r="145" spans="1:20" ht="25.5">
      <c r="A145" s="75">
        <v>630</v>
      </c>
      <c r="B145" s="73">
        <v>400</v>
      </c>
      <c r="C145" s="74">
        <v>700</v>
      </c>
      <c r="D145" s="74"/>
      <c r="E145" s="74"/>
      <c r="F145" s="74"/>
      <c r="G145" s="65" t="s">
        <v>505</v>
      </c>
      <c r="H145" s="335">
        <v>0</v>
      </c>
      <c r="I145" s="333">
        <v>0</v>
      </c>
      <c r="J145" s="147" t="s">
        <v>58</v>
      </c>
      <c r="K145" s="296"/>
      <c r="L145" s="278">
        <f t="shared" si="36"/>
        <v>0</v>
      </c>
      <c r="M145" s="291" t="e">
        <f t="shared" si="34"/>
        <v>#DIV/0!</v>
      </c>
      <c r="N145" s="278">
        <v>0</v>
      </c>
      <c r="O145" s="278">
        <f t="shared" si="37"/>
        <v>0</v>
      </c>
      <c r="P145" s="291" t="e">
        <f t="shared" si="38"/>
        <v>#DIV/0!</v>
      </c>
      <c r="Q145" s="335">
        <v>0</v>
      </c>
      <c r="R145" s="333">
        <f t="shared" si="35"/>
        <v>0</v>
      </c>
      <c r="T145" s="279">
        <v>0</v>
      </c>
    </row>
    <row r="146" spans="1:20" s="50" customFormat="1" ht="15">
      <c r="A146" s="71">
        <v>640</v>
      </c>
      <c r="B146" s="72">
        <v>0</v>
      </c>
      <c r="C146" s="72">
        <v>0</v>
      </c>
      <c r="D146" s="72">
        <v>0</v>
      </c>
      <c r="E146" s="72">
        <v>0</v>
      </c>
      <c r="F146" s="72">
        <v>0</v>
      </c>
      <c r="G146" s="140" t="s">
        <v>506</v>
      </c>
      <c r="H146" s="336"/>
      <c r="I146" s="345"/>
      <c r="J146" s="141"/>
      <c r="K146" s="294"/>
      <c r="L146" s="281"/>
      <c r="M146" s="281"/>
      <c r="N146" s="281"/>
      <c r="O146" s="281"/>
      <c r="P146" s="281"/>
      <c r="Q146" s="336"/>
      <c r="R146" s="290"/>
      <c r="T146" s="281"/>
    </row>
    <row r="147" spans="1:21" ht="15">
      <c r="A147" s="75">
        <v>640</v>
      </c>
      <c r="B147" s="74">
        <v>100</v>
      </c>
      <c r="C147" s="74"/>
      <c r="D147" s="74"/>
      <c r="E147" s="74"/>
      <c r="F147" s="74"/>
      <c r="G147" s="65" t="s">
        <v>507</v>
      </c>
      <c r="H147" s="335">
        <v>152173</v>
      </c>
      <c r="I147" s="333">
        <v>18587</v>
      </c>
      <c r="J147" s="147" t="s">
        <v>59</v>
      </c>
      <c r="K147" s="296"/>
      <c r="L147" s="278">
        <f>H147-I147</f>
        <v>133586</v>
      </c>
      <c r="M147" s="291">
        <f>L147/I147</f>
        <v>7.1871</v>
      </c>
      <c r="N147" s="278">
        <v>0</v>
      </c>
      <c r="O147" s="278">
        <f>H147-N147</f>
        <v>152173</v>
      </c>
      <c r="P147" s="291" t="e">
        <f>O147/N147</f>
        <v>#DIV/0!</v>
      </c>
      <c r="Q147" s="335">
        <v>50000</v>
      </c>
      <c r="R147" s="333">
        <f>H147-Q147</f>
        <v>102173</v>
      </c>
      <c r="T147" s="279">
        <v>0</v>
      </c>
      <c r="U147" s="67" t="s">
        <v>663</v>
      </c>
    </row>
    <row r="148" spans="1:20" ht="15">
      <c r="A148" s="75">
        <v>640</v>
      </c>
      <c r="B148" s="73">
        <v>200</v>
      </c>
      <c r="C148" s="73"/>
      <c r="D148" s="73"/>
      <c r="E148" s="73"/>
      <c r="F148" s="73"/>
      <c r="G148" s="66" t="s">
        <v>508</v>
      </c>
      <c r="H148" s="334"/>
      <c r="I148" s="337"/>
      <c r="J148" s="147"/>
      <c r="K148" s="296"/>
      <c r="L148" s="272"/>
      <c r="M148" s="272"/>
      <c r="N148" s="272"/>
      <c r="O148" s="272"/>
      <c r="P148" s="291"/>
      <c r="Q148" s="337"/>
      <c r="R148" s="298"/>
      <c r="T148" s="149"/>
    </row>
    <row r="149" spans="1:20" ht="25.5">
      <c r="A149" s="75">
        <v>640</v>
      </c>
      <c r="B149" s="73">
        <v>200</v>
      </c>
      <c r="C149" s="74">
        <v>100</v>
      </c>
      <c r="D149" s="74"/>
      <c r="E149" s="74"/>
      <c r="F149" s="74"/>
      <c r="G149" s="65" t="s">
        <v>509</v>
      </c>
      <c r="H149" s="335">
        <v>0</v>
      </c>
      <c r="I149" s="333">
        <v>0</v>
      </c>
      <c r="J149" s="147" t="s">
        <v>60</v>
      </c>
      <c r="K149" s="296"/>
      <c r="L149" s="278">
        <f>H149-I149</f>
        <v>0</v>
      </c>
      <c r="M149" s="291" t="e">
        <f>L149/I149</f>
        <v>#DIV/0!</v>
      </c>
      <c r="N149" s="278">
        <v>0</v>
      </c>
      <c r="O149" s="278">
        <f>H149-N149</f>
        <v>0</v>
      </c>
      <c r="P149" s="291" t="e">
        <f>O149/N149</f>
        <v>#DIV/0!</v>
      </c>
      <c r="Q149" s="335">
        <v>0</v>
      </c>
      <c r="R149" s="333">
        <f>H149-Q149</f>
        <v>0</v>
      </c>
      <c r="T149" s="279">
        <v>0</v>
      </c>
    </row>
    <row r="150" spans="1:20" ht="15">
      <c r="A150" s="75">
        <v>640</v>
      </c>
      <c r="B150" s="73">
        <v>200</v>
      </c>
      <c r="C150" s="74">
        <v>200</v>
      </c>
      <c r="D150" s="74"/>
      <c r="E150" s="74"/>
      <c r="F150" s="74"/>
      <c r="G150" s="65" t="s">
        <v>510</v>
      </c>
      <c r="H150" s="335">
        <v>0</v>
      </c>
      <c r="I150" s="333">
        <v>0</v>
      </c>
      <c r="J150" s="147" t="s">
        <v>61</v>
      </c>
      <c r="K150" s="296"/>
      <c r="L150" s="278">
        <f>H150-I150</f>
        <v>0</v>
      </c>
      <c r="M150" s="291" t="e">
        <f>L150/I150</f>
        <v>#DIV/0!</v>
      </c>
      <c r="N150" s="278">
        <v>0</v>
      </c>
      <c r="O150" s="278">
        <f>H150-N150</f>
        <v>0</v>
      </c>
      <c r="P150" s="291" t="e">
        <f>O150/N150</f>
        <v>#DIV/0!</v>
      </c>
      <c r="Q150" s="335">
        <v>0</v>
      </c>
      <c r="R150" s="333">
        <f>H150-Q150</f>
        <v>0</v>
      </c>
      <c r="T150" s="279">
        <v>0</v>
      </c>
    </row>
    <row r="151" spans="1:20" ht="15">
      <c r="A151" s="75">
        <v>640</v>
      </c>
      <c r="B151" s="73">
        <v>300</v>
      </c>
      <c r="C151" s="73"/>
      <c r="D151" s="73"/>
      <c r="E151" s="73"/>
      <c r="F151" s="73"/>
      <c r="G151" s="66" t="s">
        <v>511</v>
      </c>
      <c r="H151" s="334"/>
      <c r="I151" s="337"/>
      <c r="J151" s="147"/>
      <c r="K151" s="296"/>
      <c r="L151" s="272"/>
      <c r="M151" s="272"/>
      <c r="N151" s="272"/>
      <c r="O151" s="272"/>
      <c r="P151" s="272"/>
      <c r="Q151" s="337"/>
      <c r="R151" s="292"/>
      <c r="T151" s="149"/>
    </row>
    <row r="152" spans="1:20" ht="38.25">
      <c r="A152" s="75">
        <v>640</v>
      </c>
      <c r="B152" s="73">
        <v>300</v>
      </c>
      <c r="C152" s="74">
        <v>100</v>
      </c>
      <c r="D152" s="74"/>
      <c r="E152" s="74"/>
      <c r="F152" s="74"/>
      <c r="G152" s="65" t="s">
        <v>512</v>
      </c>
      <c r="H152" s="335">
        <v>30793</v>
      </c>
      <c r="I152" s="333">
        <v>30743</v>
      </c>
      <c r="J152" s="147" t="s">
        <v>62</v>
      </c>
      <c r="K152" s="296"/>
      <c r="L152" s="278">
        <f>H152-I152</f>
        <v>50</v>
      </c>
      <c r="M152" s="291">
        <f>L152/I152</f>
        <v>0.0016</v>
      </c>
      <c r="N152" s="278">
        <f>36007-36007</f>
        <v>0</v>
      </c>
      <c r="O152" s="278">
        <f>H152-N152</f>
        <v>30793</v>
      </c>
      <c r="P152" s="291" t="e">
        <f>O152/N152</f>
        <v>#DIV/0!</v>
      </c>
      <c r="Q152" s="335">
        <v>40753</v>
      </c>
      <c r="R152" s="333">
        <f>H152-Q152</f>
        <v>-9960</v>
      </c>
      <c r="T152" s="279">
        <v>30743</v>
      </c>
    </row>
    <row r="153" spans="1:20" ht="25.5">
      <c r="A153" s="75">
        <v>640</v>
      </c>
      <c r="B153" s="73">
        <v>300</v>
      </c>
      <c r="C153" s="74">
        <v>200</v>
      </c>
      <c r="D153" s="74"/>
      <c r="E153" s="74"/>
      <c r="F153" s="74"/>
      <c r="G153" s="65" t="s">
        <v>513</v>
      </c>
      <c r="H153" s="335">
        <v>0</v>
      </c>
      <c r="I153" s="333">
        <v>0</v>
      </c>
      <c r="J153" s="147" t="s">
        <v>63</v>
      </c>
      <c r="K153" s="296"/>
      <c r="L153" s="278">
        <f>H153-I153</f>
        <v>0</v>
      </c>
      <c r="M153" s="291" t="e">
        <f>L153/I153</f>
        <v>#DIV/0!</v>
      </c>
      <c r="N153" s="278">
        <v>0</v>
      </c>
      <c r="O153" s="278">
        <f>H153-N153</f>
        <v>0</v>
      </c>
      <c r="P153" s="291" t="e">
        <f>O153/N153</f>
        <v>#DIV/0!</v>
      </c>
      <c r="Q153" s="335">
        <v>0</v>
      </c>
      <c r="R153" s="333">
        <f>H153-Q153</f>
        <v>0</v>
      </c>
      <c r="T153" s="279">
        <v>0</v>
      </c>
    </row>
    <row r="154" spans="1:20" ht="25.5">
      <c r="A154" s="75">
        <v>640</v>
      </c>
      <c r="B154" s="73">
        <v>300</v>
      </c>
      <c r="C154" s="73">
        <v>300</v>
      </c>
      <c r="D154" s="73"/>
      <c r="E154" s="73"/>
      <c r="F154" s="73"/>
      <c r="G154" s="66" t="s">
        <v>514</v>
      </c>
      <c r="H154" s="334"/>
      <c r="I154" s="334"/>
      <c r="J154" s="147" t="s">
        <v>64</v>
      </c>
      <c r="K154" s="296"/>
      <c r="L154" s="272"/>
      <c r="M154" s="272"/>
      <c r="N154" s="272"/>
      <c r="O154" s="272"/>
      <c r="P154" s="272"/>
      <c r="Q154" s="334"/>
      <c r="R154" s="292"/>
      <c r="T154" s="272"/>
    </row>
    <row r="155" spans="1:21" ht="15">
      <c r="A155" s="75">
        <v>640</v>
      </c>
      <c r="B155" s="73">
        <v>300</v>
      </c>
      <c r="C155" s="74">
        <v>300</v>
      </c>
      <c r="D155" s="77">
        <v>100</v>
      </c>
      <c r="E155" s="77"/>
      <c r="F155" s="77"/>
      <c r="G155" s="65" t="s">
        <v>489</v>
      </c>
      <c r="H155" s="333">
        <v>0</v>
      </c>
      <c r="I155" s="333">
        <f>234587-234587</f>
        <v>0</v>
      </c>
      <c r="J155" s="51"/>
      <c r="K155" s="64"/>
      <c r="L155" s="278">
        <f>H155-I155</f>
        <v>0</v>
      </c>
      <c r="M155" s="291" t="e">
        <f>L155/I155</f>
        <v>#DIV/0!</v>
      </c>
      <c r="N155" s="279">
        <f>(3094+5973)+(204691+24294)</f>
        <v>238052</v>
      </c>
      <c r="O155" s="278">
        <f>H155-N155</f>
        <v>-238052</v>
      </c>
      <c r="P155" s="291">
        <f>O155/N155</f>
        <v>-1</v>
      </c>
      <c r="Q155" s="333">
        <v>238052</v>
      </c>
      <c r="R155" s="333">
        <f>H155-Q155</f>
        <v>-238052</v>
      </c>
      <c r="T155" s="279">
        <v>234587</v>
      </c>
      <c r="U155" s="67" t="s">
        <v>661</v>
      </c>
    </row>
    <row r="156" spans="1:20" ht="15">
      <c r="A156" s="75">
        <v>640</v>
      </c>
      <c r="B156" s="73">
        <v>300</v>
      </c>
      <c r="C156" s="74">
        <v>300</v>
      </c>
      <c r="D156" s="77">
        <v>200</v>
      </c>
      <c r="E156" s="77"/>
      <c r="F156" s="77"/>
      <c r="G156" s="65" t="s">
        <v>515</v>
      </c>
      <c r="H156" s="333">
        <v>0</v>
      </c>
      <c r="I156" s="333">
        <v>0</v>
      </c>
      <c r="J156" s="51"/>
      <c r="K156" s="64"/>
      <c r="L156" s="278">
        <f>H156-I156</f>
        <v>0</v>
      </c>
      <c r="M156" s="291" t="e">
        <f>L156/I156</f>
        <v>#DIV/0!</v>
      </c>
      <c r="N156" s="279">
        <v>0</v>
      </c>
      <c r="O156" s="278">
        <f>H156-N156</f>
        <v>0</v>
      </c>
      <c r="P156" s="291" t="e">
        <f>O156/N156</f>
        <v>#DIV/0!</v>
      </c>
      <c r="Q156" s="333">
        <v>0</v>
      </c>
      <c r="R156" s="333">
        <f>H156-Q156</f>
        <v>0</v>
      </c>
      <c r="T156" s="279">
        <v>0</v>
      </c>
    </row>
    <row r="157" spans="1:20" ht="15">
      <c r="A157" s="75">
        <v>640</v>
      </c>
      <c r="B157" s="73">
        <v>300</v>
      </c>
      <c r="C157" s="74">
        <v>300</v>
      </c>
      <c r="D157" s="77">
        <v>900</v>
      </c>
      <c r="E157" s="77"/>
      <c r="F157" s="77"/>
      <c r="G157" s="65" t="s">
        <v>516</v>
      </c>
      <c r="H157" s="333">
        <v>20094</v>
      </c>
      <c r="I157" s="333">
        <v>0</v>
      </c>
      <c r="J157" s="51"/>
      <c r="K157" s="64"/>
      <c r="L157" s="278">
        <f>H157-I157</f>
        <v>20094</v>
      </c>
      <c r="M157" s="291" t="e">
        <f>L157/I157</f>
        <v>#DIV/0!</v>
      </c>
      <c r="N157" s="279">
        <v>0</v>
      </c>
      <c r="O157" s="278">
        <f>H157-N157</f>
        <v>20094</v>
      </c>
      <c r="P157" s="291" t="e">
        <f>O157/N157</f>
        <v>#DIV/0!</v>
      </c>
      <c r="Q157" s="333">
        <v>0</v>
      </c>
      <c r="R157" s="333">
        <f>H157-Q157</f>
        <v>20094</v>
      </c>
      <c r="T157" s="279">
        <v>0</v>
      </c>
    </row>
    <row r="158" spans="1:20" ht="15">
      <c r="A158" s="75">
        <v>640</v>
      </c>
      <c r="B158" s="73">
        <v>400</v>
      </c>
      <c r="C158" s="73"/>
      <c r="D158" s="73"/>
      <c r="E158" s="73"/>
      <c r="F158" s="73"/>
      <c r="G158" s="66" t="s">
        <v>517</v>
      </c>
      <c r="H158" s="334"/>
      <c r="I158" s="334"/>
      <c r="J158" s="147"/>
      <c r="K158" s="296"/>
      <c r="L158" s="272"/>
      <c r="M158" s="272"/>
      <c r="N158" s="272"/>
      <c r="O158" s="272"/>
      <c r="P158" s="272"/>
      <c r="Q158" s="334"/>
      <c r="R158" s="292"/>
      <c r="T158" s="272"/>
    </row>
    <row r="159" spans="1:20" ht="25.5">
      <c r="A159" s="75">
        <v>640</v>
      </c>
      <c r="B159" s="73">
        <v>400</v>
      </c>
      <c r="C159" s="74">
        <v>100</v>
      </c>
      <c r="D159" s="74"/>
      <c r="E159" s="74"/>
      <c r="F159" s="74"/>
      <c r="G159" s="65" t="s">
        <v>518</v>
      </c>
      <c r="H159" s="335">
        <v>0</v>
      </c>
      <c r="I159" s="333">
        <v>0</v>
      </c>
      <c r="J159" s="147" t="s">
        <v>65</v>
      </c>
      <c r="K159" s="296"/>
      <c r="L159" s="278">
        <f>H159-I159</f>
        <v>0</v>
      </c>
      <c r="M159" s="291" t="e">
        <f>L159/I159</f>
        <v>#DIV/0!</v>
      </c>
      <c r="N159" s="278">
        <v>0</v>
      </c>
      <c r="O159" s="278">
        <f>H159-N159</f>
        <v>0</v>
      </c>
      <c r="P159" s="291" t="e">
        <f>O159/N159</f>
        <v>#DIV/0!</v>
      </c>
      <c r="Q159" s="335">
        <v>0</v>
      </c>
      <c r="R159" s="333">
        <f>H159-Q159</f>
        <v>0</v>
      </c>
      <c r="T159" s="279">
        <v>0</v>
      </c>
    </row>
    <row r="160" spans="1:20" ht="15">
      <c r="A160" s="75">
        <v>640</v>
      </c>
      <c r="B160" s="73">
        <v>400</v>
      </c>
      <c r="C160" s="74">
        <v>200</v>
      </c>
      <c r="D160" s="74"/>
      <c r="E160" s="74"/>
      <c r="F160" s="74"/>
      <c r="G160" s="65" t="s">
        <v>519</v>
      </c>
      <c r="H160" s="335">
        <v>0</v>
      </c>
      <c r="I160" s="333">
        <v>0</v>
      </c>
      <c r="J160" s="147" t="s">
        <v>66</v>
      </c>
      <c r="K160" s="296"/>
      <c r="L160" s="278">
        <f>H160-I160</f>
        <v>0</v>
      </c>
      <c r="M160" s="291" t="e">
        <f>L160/I160</f>
        <v>#DIV/0!</v>
      </c>
      <c r="N160" s="278">
        <v>0</v>
      </c>
      <c r="O160" s="278">
        <f>H160-N160</f>
        <v>0</v>
      </c>
      <c r="P160" s="291" t="e">
        <f>O160/N160</f>
        <v>#DIV/0!</v>
      </c>
      <c r="Q160" s="335">
        <v>0</v>
      </c>
      <c r="R160" s="333">
        <f>H160-Q160</f>
        <v>0</v>
      </c>
      <c r="T160" s="279">
        <v>0</v>
      </c>
    </row>
    <row r="161" spans="1:20" ht="15">
      <c r="A161" s="75">
        <v>640</v>
      </c>
      <c r="B161" s="73">
        <v>400</v>
      </c>
      <c r="C161" s="73">
        <v>300</v>
      </c>
      <c r="D161" s="73"/>
      <c r="E161" s="73"/>
      <c r="F161" s="73"/>
      <c r="G161" s="66" t="s">
        <v>520</v>
      </c>
      <c r="H161" s="334"/>
      <c r="I161" s="337"/>
      <c r="J161" s="147" t="s">
        <v>67</v>
      </c>
      <c r="K161" s="296"/>
      <c r="L161" s="272"/>
      <c r="M161" s="272"/>
      <c r="N161" s="272"/>
      <c r="O161" s="272"/>
      <c r="P161" s="272"/>
      <c r="Q161" s="337"/>
      <c r="R161" s="292"/>
      <c r="T161" s="149"/>
    </row>
    <row r="162" spans="1:20" ht="15">
      <c r="A162" s="75">
        <v>640</v>
      </c>
      <c r="B162" s="73">
        <v>400</v>
      </c>
      <c r="C162" s="73">
        <v>300</v>
      </c>
      <c r="D162" s="77">
        <v>100</v>
      </c>
      <c r="E162" s="77"/>
      <c r="F162" s="77"/>
      <c r="G162" s="65" t="s">
        <v>521</v>
      </c>
      <c r="H162" s="333">
        <v>0</v>
      </c>
      <c r="I162" s="333">
        <v>0</v>
      </c>
      <c r="J162" s="51"/>
      <c r="K162" s="64"/>
      <c r="L162" s="278">
        <f aca="true" t="shared" si="39" ref="L162:L167">H162-I162</f>
        <v>0</v>
      </c>
      <c r="M162" s="291" t="e">
        <f aca="true" t="shared" si="40" ref="M162:M167">L162/I162</f>
        <v>#DIV/0!</v>
      </c>
      <c r="N162" s="279">
        <v>0</v>
      </c>
      <c r="O162" s="278">
        <f aca="true" t="shared" si="41" ref="O162:O167">H162-N162</f>
        <v>0</v>
      </c>
      <c r="P162" s="291" t="e">
        <f aca="true" t="shared" si="42" ref="P162:P167">O162/N162</f>
        <v>#DIV/0!</v>
      </c>
      <c r="Q162" s="333">
        <v>0</v>
      </c>
      <c r="R162" s="333">
        <f aca="true" t="shared" si="43" ref="R162:R167">H162-Q162</f>
        <v>0</v>
      </c>
      <c r="T162" s="279">
        <v>0</v>
      </c>
    </row>
    <row r="163" spans="1:20" ht="15">
      <c r="A163" s="75">
        <v>640</v>
      </c>
      <c r="B163" s="73">
        <v>400</v>
      </c>
      <c r="C163" s="73">
        <v>300</v>
      </c>
      <c r="D163" s="77">
        <v>200</v>
      </c>
      <c r="E163" s="77"/>
      <c r="F163" s="77"/>
      <c r="G163" s="65" t="s">
        <v>522</v>
      </c>
      <c r="H163" s="333">
        <v>0</v>
      </c>
      <c r="I163" s="333">
        <v>0</v>
      </c>
      <c r="J163" s="51"/>
      <c r="K163" s="64"/>
      <c r="L163" s="278">
        <f t="shared" si="39"/>
        <v>0</v>
      </c>
      <c r="M163" s="291" t="e">
        <f t="shared" si="40"/>
        <v>#DIV/0!</v>
      </c>
      <c r="N163" s="279">
        <v>0</v>
      </c>
      <c r="O163" s="278">
        <f t="shared" si="41"/>
        <v>0</v>
      </c>
      <c r="P163" s="291" t="e">
        <f t="shared" si="42"/>
        <v>#DIV/0!</v>
      </c>
      <c r="Q163" s="333">
        <v>0</v>
      </c>
      <c r="R163" s="333">
        <f t="shared" si="43"/>
        <v>0</v>
      </c>
      <c r="T163" s="279">
        <v>0</v>
      </c>
    </row>
    <row r="164" spans="1:21" ht="15">
      <c r="A164" s="75">
        <v>640</v>
      </c>
      <c r="B164" s="73">
        <v>400</v>
      </c>
      <c r="C164" s="73">
        <v>300</v>
      </c>
      <c r="D164" s="77">
        <v>300</v>
      </c>
      <c r="E164" s="77"/>
      <c r="F164" s="77"/>
      <c r="G164" s="65" t="s">
        <v>523</v>
      </c>
      <c r="H164" s="333">
        <v>15511</v>
      </c>
      <c r="I164" s="333">
        <f>18587-18587</f>
        <v>0</v>
      </c>
      <c r="J164" s="51"/>
      <c r="K164" s="64"/>
      <c r="L164" s="278">
        <f t="shared" si="39"/>
        <v>15511</v>
      </c>
      <c r="M164" s="291" t="e">
        <f t="shared" si="40"/>
        <v>#DIV/0!</v>
      </c>
      <c r="N164" s="279">
        <v>15000</v>
      </c>
      <c r="O164" s="278">
        <f t="shared" si="41"/>
        <v>511</v>
      </c>
      <c r="P164" s="291">
        <f t="shared" si="42"/>
        <v>0.0341</v>
      </c>
      <c r="Q164" s="333">
        <v>10000</v>
      </c>
      <c r="R164" s="333">
        <f t="shared" si="43"/>
        <v>5511</v>
      </c>
      <c r="T164" s="279">
        <v>18587</v>
      </c>
      <c r="U164" s="52" t="s">
        <v>664</v>
      </c>
    </row>
    <row r="165" spans="1:20" ht="15">
      <c r="A165" s="75">
        <v>640</v>
      </c>
      <c r="B165" s="73">
        <v>400</v>
      </c>
      <c r="C165" s="73">
        <v>300</v>
      </c>
      <c r="D165" s="77">
        <v>400</v>
      </c>
      <c r="E165" s="77"/>
      <c r="F165" s="77"/>
      <c r="G165" s="65" t="s">
        <v>524</v>
      </c>
      <c r="H165" s="333">
        <v>0</v>
      </c>
      <c r="I165" s="333">
        <v>0</v>
      </c>
      <c r="J165" s="51"/>
      <c r="K165" s="64"/>
      <c r="L165" s="278">
        <f t="shared" si="39"/>
        <v>0</v>
      </c>
      <c r="M165" s="291" t="e">
        <f t="shared" si="40"/>
        <v>#DIV/0!</v>
      </c>
      <c r="N165" s="279">
        <v>0</v>
      </c>
      <c r="O165" s="278">
        <f t="shared" si="41"/>
        <v>0</v>
      </c>
      <c r="P165" s="291" t="e">
        <f t="shared" si="42"/>
        <v>#DIV/0!</v>
      </c>
      <c r="Q165" s="333">
        <v>0</v>
      </c>
      <c r="R165" s="333">
        <f t="shared" si="43"/>
        <v>0</v>
      </c>
      <c r="T165" s="279">
        <v>0</v>
      </c>
    </row>
    <row r="166" spans="1:20" ht="15">
      <c r="A166" s="75">
        <v>640</v>
      </c>
      <c r="B166" s="73">
        <v>400</v>
      </c>
      <c r="C166" s="73">
        <v>300</v>
      </c>
      <c r="D166" s="77">
        <v>500</v>
      </c>
      <c r="E166" s="77"/>
      <c r="F166" s="77"/>
      <c r="G166" s="65" t="s">
        <v>525</v>
      </c>
      <c r="H166" s="333">
        <v>0</v>
      </c>
      <c r="I166" s="333">
        <v>0</v>
      </c>
      <c r="J166" s="51"/>
      <c r="K166" s="64"/>
      <c r="L166" s="278">
        <f t="shared" si="39"/>
        <v>0</v>
      </c>
      <c r="M166" s="291" t="e">
        <f t="shared" si="40"/>
        <v>#DIV/0!</v>
      </c>
      <c r="N166" s="279">
        <v>0</v>
      </c>
      <c r="O166" s="278">
        <f t="shared" si="41"/>
        <v>0</v>
      </c>
      <c r="P166" s="291" t="e">
        <f t="shared" si="42"/>
        <v>#DIV/0!</v>
      </c>
      <c r="Q166" s="333">
        <v>0</v>
      </c>
      <c r="R166" s="333">
        <f t="shared" si="43"/>
        <v>0</v>
      </c>
      <c r="T166" s="279">
        <v>0</v>
      </c>
    </row>
    <row r="167" spans="1:20" ht="25.5">
      <c r="A167" s="75">
        <v>640</v>
      </c>
      <c r="B167" s="73">
        <v>400</v>
      </c>
      <c r="C167" s="73">
        <v>300</v>
      </c>
      <c r="D167" s="77">
        <v>900</v>
      </c>
      <c r="E167" s="77"/>
      <c r="F167" s="77"/>
      <c r="G167" s="65" t="s">
        <v>520</v>
      </c>
      <c r="H167" s="333">
        <v>234810</v>
      </c>
      <c r="I167" s="333">
        <v>0</v>
      </c>
      <c r="J167" s="51"/>
      <c r="K167" s="64"/>
      <c r="L167" s="278">
        <f t="shared" si="39"/>
        <v>234810</v>
      </c>
      <c r="M167" s="291" t="e">
        <f t="shared" si="40"/>
        <v>#DIV/0!</v>
      </c>
      <c r="N167" s="279">
        <v>0</v>
      </c>
      <c r="O167" s="278">
        <f t="shared" si="41"/>
        <v>234810</v>
      </c>
      <c r="P167" s="291" t="e">
        <f t="shared" si="42"/>
        <v>#DIV/0!</v>
      </c>
      <c r="Q167" s="333">
        <v>0</v>
      </c>
      <c r="R167" s="333">
        <f t="shared" si="43"/>
        <v>234810</v>
      </c>
      <c r="T167" s="279">
        <v>0</v>
      </c>
    </row>
    <row r="168" spans="1:20" ht="15">
      <c r="A168" s="75">
        <v>640</v>
      </c>
      <c r="B168" s="73">
        <v>500</v>
      </c>
      <c r="C168" s="73"/>
      <c r="D168" s="73"/>
      <c r="E168" s="73"/>
      <c r="F168" s="73"/>
      <c r="G168" s="66" t="s">
        <v>526</v>
      </c>
      <c r="H168" s="334"/>
      <c r="I168" s="337"/>
      <c r="J168" s="147"/>
      <c r="K168" s="296"/>
      <c r="L168" s="272"/>
      <c r="M168" s="272"/>
      <c r="N168" s="272"/>
      <c r="O168" s="272"/>
      <c r="P168" s="272"/>
      <c r="Q168" s="334"/>
      <c r="R168" s="292"/>
      <c r="T168" s="149"/>
    </row>
    <row r="169" spans="1:20" ht="15">
      <c r="A169" s="75">
        <v>640</v>
      </c>
      <c r="B169" s="73">
        <v>500</v>
      </c>
      <c r="C169" s="73">
        <v>100</v>
      </c>
      <c r="D169" s="73"/>
      <c r="E169" s="73"/>
      <c r="F169" s="73"/>
      <c r="G169" s="66" t="s">
        <v>527</v>
      </c>
      <c r="H169" s="334"/>
      <c r="I169" s="337"/>
      <c r="J169" s="147"/>
      <c r="K169" s="296"/>
      <c r="L169" s="272"/>
      <c r="M169" s="272"/>
      <c r="N169" s="272"/>
      <c r="O169" s="272"/>
      <c r="P169" s="272"/>
      <c r="Q169" s="334"/>
      <c r="R169" s="292"/>
      <c r="T169" s="149"/>
    </row>
    <row r="170" spans="1:20" ht="25.5">
      <c r="A170" s="75">
        <v>640</v>
      </c>
      <c r="B170" s="73">
        <v>500</v>
      </c>
      <c r="C170" s="73">
        <v>100</v>
      </c>
      <c r="D170" s="74">
        <v>100</v>
      </c>
      <c r="E170" s="74"/>
      <c r="F170" s="74"/>
      <c r="G170" s="65" t="s">
        <v>528</v>
      </c>
      <c r="H170" s="335">
        <v>0</v>
      </c>
      <c r="I170" s="333">
        <v>0</v>
      </c>
      <c r="J170" s="147" t="s">
        <v>68</v>
      </c>
      <c r="K170" s="296"/>
      <c r="L170" s="278">
        <f>H170-I170</f>
        <v>0</v>
      </c>
      <c r="M170" s="291" t="e">
        <f>L170/I170</f>
        <v>#DIV/0!</v>
      </c>
      <c r="N170" s="278">
        <v>0</v>
      </c>
      <c r="O170" s="278">
        <f>H170-N170</f>
        <v>0</v>
      </c>
      <c r="P170" s="291" t="e">
        <f>O170/N170</f>
        <v>#DIV/0!</v>
      </c>
      <c r="Q170" s="335">
        <v>0</v>
      </c>
      <c r="R170" s="333">
        <f>H170-Q170</f>
        <v>0</v>
      </c>
      <c r="T170" s="279">
        <v>0</v>
      </c>
    </row>
    <row r="171" spans="1:20" ht="25.5">
      <c r="A171" s="75">
        <v>640</v>
      </c>
      <c r="B171" s="73">
        <v>500</v>
      </c>
      <c r="C171" s="73">
        <v>100</v>
      </c>
      <c r="D171" s="74">
        <v>200</v>
      </c>
      <c r="E171" s="74"/>
      <c r="F171" s="74"/>
      <c r="G171" s="65" t="s">
        <v>529</v>
      </c>
      <c r="H171" s="335">
        <v>0</v>
      </c>
      <c r="I171" s="333">
        <v>0</v>
      </c>
      <c r="J171" s="147" t="s">
        <v>69</v>
      </c>
      <c r="K171" s="296"/>
      <c r="L171" s="278">
        <f>H171-I171</f>
        <v>0</v>
      </c>
      <c r="M171" s="291" t="e">
        <f>L171/I171</f>
        <v>#DIV/0!</v>
      </c>
      <c r="N171" s="278">
        <v>0</v>
      </c>
      <c r="O171" s="278">
        <f>H171-N171</f>
        <v>0</v>
      </c>
      <c r="P171" s="291" t="e">
        <f>O171/N171</f>
        <v>#DIV/0!</v>
      </c>
      <c r="Q171" s="335">
        <v>0</v>
      </c>
      <c r="R171" s="333">
        <f>H171-Q171</f>
        <v>0</v>
      </c>
      <c r="T171" s="279">
        <v>0</v>
      </c>
    </row>
    <row r="172" spans="1:20" ht="15">
      <c r="A172" s="75">
        <v>640</v>
      </c>
      <c r="B172" s="73">
        <v>500</v>
      </c>
      <c r="C172" s="73">
        <v>100</v>
      </c>
      <c r="D172" s="74">
        <v>300</v>
      </c>
      <c r="E172" s="74"/>
      <c r="F172" s="74"/>
      <c r="G172" s="65" t="s">
        <v>530</v>
      </c>
      <c r="H172" s="335">
        <v>0</v>
      </c>
      <c r="I172" s="333">
        <v>0</v>
      </c>
      <c r="J172" s="147" t="s">
        <v>70</v>
      </c>
      <c r="K172" s="296"/>
      <c r="L172" s="278">
        <f>H172-I172</f>
        <v>0</v>
      </c>
      <c r="M172" s="291" t="e">
        <f>L172/I172</f>
        <v>#DIV/0!</v>
      </c>
      <c r="N172" s="278">
        <v>0</v>
      </c>
      <c r="O172" s="278">
        <f>H172-N172</f>
        <v>0</v>
      </c>
      <c r="P172" s="291" t="e">
        <f>O172/N172</f>
        <v>#DIV/0!</v>
      </c>
      <c r="Q172" s="335">
        <v>0</v>
      </c>
      <c r="R172" s="333">
        <f>H172-Q172</f>
        <v>0</v>
      </c>
      <c r="T172" s="279">
        <v>0</v>
      </c>
    </row>
    <row r="173" spans="1:20" ht="15">
      <c r="A173" s="75">
        <v>640</v>
      </c>
      <c r="B173" s="73">
        <v>500</v>
      </c>
      <c r="C173" s="73">
        <v>200</v>
      </c>
      <c r="D173" s="73"/>
      <c r="E173" s="73"/>
      <c r="F173" s="73"/>
      <c r="G173" s="66" t="s">
        <v>531</v>
      </c>
      <c r="H173" s="334"/>
      <c r="I173" s="337"/>
      <c r="J173" s="147" t="s">
        <v>71</v>
      </c>
      <c r="K173" s="296"/>
      <c r="L173" s="272"/>
      <c r="M173" s="272"/>
      <c r="N173" s="272"/>
      <c r="O173" s="272"/>
      <c r="P173" s="272"/>
      <c r="Q173" s="337"/>
      <c r="R173" s="292"/>
      <c r="T173" s="149"/>
    </row>
    <row r="174" spans="1:20" ht="15">
      <c r="A174" s="75">
        <v>640</v>
      </c>
      <c r="B174" s="73">
        <v>500</v>
      </c>
      <c r="C174" s="73">
        <v>200</v>
      </c>
      <c r="D174" s="77">
        <v>50</v>
      </c>
      <c r="E174" s="77"/>
      <c r="F174" s="77"/>
      <c r="G174" s="65" t="s">
        <v>532</v>
      </c>
      <c r="H174" s="333">
        <v>0</v>
      </c>
      <c r="I174" s="333">
        <v>0</v>
      </c>
      <c r="J174" s="51"/>
      <c r="K174" s="64"/>
      <c r="L174" s="278">
        <f>H174-I174</f>
        <v>0</v>
      </c>
      <c r="M174" s="291" t="e">
        <f aca="true" t="shared" si="44" ref="M174:M186">L174/I174</f>
        <v>#DIV/0!</v>
      </c>
      <c r="N174" s="279">
        <v>0</v>
      </c>
      <c r="O174" s="278">
        <f>H174-N174</f>
        <v>0</v>
      </c>
      <c r="P174" s="291" t="e">
        <f>O174/N174</f>
        <v>#DIV/0!</v>
      </c>
      <c r="Q174" s="333">
        <v>0</v>
      </c>
      <c r="R174" s="333">
        <f aca="true" t="shared" si="45" ref="R174:R186">H174-Q174</f>
        <v>0</v>
      </c>
      <c r="T174" s="279">
        <v>0</v>
      </c>
    </row>
    <row r="175" spans="1:20" ht="15">
      <c r="A175" s="75">
        <v>640</v>
      </c>
      <c r="B175" s="73">
        <v>500</v>
      </c>
      <c r="C175" s="73">
        <v>200</v>
      </c>
      <c r="D175" s="77">
        <v>100</v>
      </c>
      <c r="E175" s="77"/>
      <c r="F175" s="77"/>
      <c r="G175" s="65" t="s">
        <v>533</v>
      </c>
      <c r="H175" s="333">
        <v>65626</v>
      </c>
      <c r="I175" s="333">
        <v>55579</v>
      </c>
      <c r="J175" s="51"/>
      <c r="K175" s="64"/>
      <c r="L175" s="278">
        <f>H175-I175</f>
        <v>10047</v>
      </c>
      <c r="M175" s="291">
        <f t="shared" si="44"/>
        <v>0.1808</v>
      </c>
      <c r="N175" s="279">
        <v>50000</v>
      </c>
      <c r="O175" s="278">
        <f>H175-N175</f>
        <v>15626</v>
      </c>
      <c r="P175" s="291">
        <f>O175/N175</f>
        <v>0.3125</v>
      </c>
      <c r="Q175" s="333">
        <v>60000</v>
      </c>
      <c r="R175" s="333">
        <f t="shared" si="45"/>
        <v>5626</v>
      </c>
      <c r="T175" s="279">
        <v>55579</v>
      </c>
    </row>
    <row r="176" spans="1:20" ht="15">
      <c r="A176" s="75">
        <v>640</v>
      </c>
      <c r="B176" s="73">
        <v>500</v>
      </c>
      <c r="C176" s="73">
        <v>200</v>
      </c>
      <c r="D176" s="77">
        <v>150</v>
      </c>
      <c r="E176" s="77"/>
      <c r="F176" s="77"/>
      <c r="G176" s="65" t="s">
        <v>534</v>
      </c>
      <c r="H176" s="333">
        <v>0</v>
      </c>
      <c r="I176" s="333">
        <v>0</v>
      </c>
      <c r="J176" s="51"/>
      <c r="K176" s="64"/>
      <c r="L176" s="278">
        <f aca="true" t="shared" si="46" ref="L176:L186">H176-I176</f>
        <v>0</v>
      </c>
      <c r="M176" s="291" t="e">
        <f t="shared" si="44"/>
        <v>#DIV/0!</v>
      </c>
      <c r="N176" s="279">
        <v>0</v>
      </c>
      <c r="O176" s="278">
        <f aca="true" t="shared" si="47" ref="O176:O186">H176-N176</f>
        <v>0</v>
      </c>
      <c r="P176" s="291" t="e">
        <f aca="true" t="shared" si="48" ref="P176:P186">O176/N176</f>
        <v>#DIV/0!</v>
      </c>
      <c r="Q176" s="333">
        <v>0</v>
      </c>
      <c r="R176" s="333">
        <f t="shared" si="45"/>
        <v>0</v>
      </c>
      <c r="T176" s="279">
        <v>0</v>
      </c>
    </row>
    <row r="177" spans="1:20" ht="15">
      <c r="A177" s="75">
        <v>640</v>
      </c>
      <c r="B177" s="73">
        <v>500</v>
      </c>
      <c r="C177" s="73">
        <v>200</v>
      </c>
      <c r="D177" s="77">
        <v>200</v>
      </c>
      <c r="E177" s="77"/>
      <c r="F177" s="77"/>
      <c r="G177" s="65" t="s">
        <v>535</v>
      </c>
      <c r="H177" s="333">
        <v>14269</v>
      </c>
      <c r="I177" s="333">
        <v>15716</v>
      </c>
      <c r="J177" s="51"/>
      <c r="K177" s="64"/>
      <c r="L177" s="278">
        <f t="shared" si="46"/>
        <v>-1447</v>
      </c>
      <c r="M177" s="291">
        <f t="shared" si="44"/>
        <v>-0.0921</v>
      </c>
      <c r="N177" s="279">
        <v>15000</v>
      </c>
      <c r="O177" s="278">
        <f t="shared" si="47"/>
        <v>-731</v>
      </c>
      <c r="P177" s="291">
        <f t="shared" si="48"/>
        <v>-0.0487</v>
      </c>
      <c r="Q177" s="333">
        <v>15000</v>
      </c>
      <c r="R177" s="333">
        <f t="shared" si="45"/>
        <v>-731</v>
      </c>
      <c r="T177" s="279">
        <v>15716</v>
      </c>
    </row>
    <row r="178" spans="1:20" ht="15">
      <c r="A178" s="75">
        <v>640</v>
      </c>
      <c r="B178" s="73">
        <v>500</v>
      </c>
      <c r="C178" s="73">
        <v>200</v>
      </c>
      <c r="D178" s="77">
        <v>250</v>
      </c>
      <c r="E178" s="77"/>
      <c r="F178" s="77"/>
      <c r="G178" s="65" t="s">
        <v>536</v>
      </c>
      <c r="H178" s="333">
        <v>0</v>
      </c>
      <c r="I178" s="333">
        <v>0</v>
      </c>
      <c r="J178" s="51"/>
      <c r="K178" s="64"/>
      <c r="L178" s="278">
        <f t="shared" si="46"/>
        <v>0</v>
      </c>
      <c r="M178" s="291" t="e">
        <f t="shared" si="44"/>
        <v>#DIV/0!</v>
      </c>
      <c r="N178" s="279">
        <v>0</v>
      </c>
      <c r="O178" s="278">
        <f t="shared" si="47"/>
        <v>0</v>
      </c>
      <c r="P178" s="291" t="e">
        <f t="shared" si="48"/>
        <v>#DIV/0!</v>
      </c>
      <c r="Q178" s="333">
        <v>0</v>
      </c>
      <c r="R178" s="333">
        <f t="shared" si="45"/>
        <v>0</v>
      </c>
      <c r="T178" s="279">
        <v>0</v>
      </c>
    </row>
    <row r="179" spans="1:20" ht="15">
      <c r="A179" s="75">
        <v>640</v>
      </c>
      <c r="B179" s="73">
        <v>500</v>
      </c>
      <c r="C179" s="73">
        <v>200</v>
      </c>
      <c r="D179" s="77">
        <v>300</v>
      </c>
      <c r="E179" s="77"/>
      <c r="F179" s="77"/>
      <c r="G179" s="65" t="s">
        <v>537</v>
      </c>
      <c r="H179" s="333">
        <v>14828</v>
      </c>
      <c r="I179" s="333">
        <v>0</v>
      </c>
      <c r="J179" s="51"/>
      <c r="K179" s="64"/>
      <c r="L179" s="278">
        <f t="shared" si="46"/>
        <v>14828</v>
      </c>
      <c r="M179" s="291" t="e">
        <f t="shared" si="44"/>
        <v>#DIV/0!</v>
      </c>
      <c r="N179" s="279">
        <v>0</v>
      </c>
      <c r="O179" s="278">
        <f t="shared" si="47"/>
        <v>14828</v>
      </c>
      <c r="P179" s="291" t="e">
        <f t="shared" si="48"/>
        <v>#DIV/0!</v>
      </c>
      <c r="Q179" s="333">
        <v>0</v>
      </c>
      <c r="R179" s="333">
        <f t="shared" si="45"/>
        <v>14828</v>
      </c>
      <c r="T179" s="279">
        <v>0</v>
      </c>
    </row>
    <row r="180" spans="1:20" ht="15">
      <c r="A180" s="75">
        <v>640</v>
      </c>
      <c r="B180" s="73">
        <v>500</v>
      </c>
      <c r="C180" s="73">
        <v>200</v>
      </c>
      <c r="D180" s="77">
        <v>350</v>
      </c>
      <c r="E180" s="77"/>
      <c r="F180" s="77"/>
      <c r="G180" s="65" t="s">
        <v>538</v>
      </c>
      <c r="H180" s="333">
        <v>0</v>
      </c>
      <c r="I180" s="333">
        <v>0</v>
      </c>
      <c r="J180" s="51"/>
      <c r="K180" s="64"/>
      <c r="L180" s="278">
        <f t="shared" si="46"/>
        <v>0</v>
      </c>
      <c r="M180" s="291" t="e">
        <f t="shared" si="44"/>
        <v>#DIV/0!</v>
      </c>
      <c r="N180" s="279">
        <v>0</v>
      </c>
      <c r="O180" s="278">
        <f t="shared" si="47"/>
        <v>0</v>
      </c>
      <c r="P180" s="291" t="e">
        <f t="shared" si="48"/>
        <v>#DIV/0!</v>
      </c>
      <c r="Q180" s="333">
        <v>0</v>
      </c>
      <c r="R180" s="333">
        <f t="shared" si="45"/>
        <v>0</v>
      </c>
      <c r="T180" s="279">
        <v>0</v>
      </c>
    </row>
    <row r="181" spans="1:20" ht="15">
      <c r="A181" s="75">
        <v>640</v>
      </c>
      <c r="B181" s="73">
        <v>500</v>
      </c>
      <c r="C181" s="73">
        <v>200</v>
      </c>
      <c r="D181" s="77">
        <v>400</v>
      </c>
      <c r="E181" s="77"/>
      <c r="F181" s="77"/>
      <c r="G181" s="65" t="s">
        <v>539</v>
      </c>
      <c r="H181" s="333">
        <v>0</v>
      </c>
      <c r="I181" s="333">
        <v>14706</v>
      </c>
      <c r="J181" s="51"/>
      <c r="K181" s="64"/>
      <c r="L181" s="278">
        <f t="shared" si="46"/>
        <v>-14706</v>
      </c>
      <c r="M181" s="291">
        <f t="shared" si="44"/>
        <v>-1</v>
      </c>
      <c r="N181" s="279">
        <v>15000</v>
      </c>
      <c r="O181" s="278">
        <f t="shared" si="47"/>
        <v>-15000</v>
      </c>
      <c r="P181" s="291">
        <f t="shared" si="48"/>
        <v>-1</v>
      </c>
      <c r="Q181" s="333">
        <v>15000</v>
      </c>
      <c r="R181" s="333">
        <f t="shared" si="45"/>
        <v>-15000</v>
      </c>
      <c r="T181" s="279">
        <v>14706</v>
      </c>
    </row>
    <row r="182" spans="1:20" ht="15">
      <c r="A182" s="75">
        <v>640</v>
      </c>
      <c r="B182" s="73">
        <v>500</v>
      </c>
      <c r="C182" s="73">
        <v>200</v>
      </c>
      <c r="D182" s="77">
        <v>450</v>
      </c>
      <c r="E182" s="77"/>
      <c r="F182" s="77"/>
      <c r="G182" s="65" t="s">
        <v>540</v>
      </c>
      <c r="H182" s="333">
        <v>806</v>
      </c>
      <c r="I182" s="333">
        <v>5702</v>
      </c>
      <c r="J182" s="51"/>
      <c r="K182" s="64"/>
      <c r="L182" s="278">
        <f t="shared" si="46"/>
        <v>-4896</v>
      </c>
      <c r="M182" s="291">
        <f t="shared" si="44"/>
        <v>-0.8586</v>
      </c>
      <c r="N182" s="279">
        <v>5000</v>
      </c>
      <c r="O182" s="278">
        <f t="shared" si="47"/>
        <v>-4194</v>
      </c>
      <c r="P182" s="291">
        <f t="shared" si="48"/>
        <v>-0.8388</v>
      </c>
      <c r="Q182" s="333">
        <v>806</v>
      </c>
      <c r="R182" s="333">
        <f t="shared" si="45"/>
        <v>0</v>
      </c>
      <c r="T182" s="279">
        <v>5702</v>
      </c>
    </row>
    <row r="183" spans="1:20" ht="25.5">
      <c r="A183" s="75">
        <v>640</v>
      </c>
      <c r="B183" s="73">
        <v>500</v>
      </c>
      <c r="C183" s="73">
        <v>200</v>
      </c>
      <c r="D183" s="77">
        <v>500</v>
      </c>
      <c r="E183" s="77"/>
      <c r="F183" s="77"/>
      <c r="G183" s="65" t="s">
        <v>541</v>
      </c>
      <c r="H183" s="333">
        <v>25220</v>
      </c>
      <c r="I183" s="333">
        <v>34017</v>
      </c>
      <c r="J183" s="51"/>
      <c r="K183" s="64"/>
      <c r="L183" s="278">
        <f t="shared" si="46"/>
        <v>-8797</v>
      </c>
      <c r="M183" s="291">
        <f t="shared" si="44"/>
        <v>-0.2586</v>
      </c>
      <c r="N183" s="279">
        <v>35000</v>
      </c>
      <c r="O183" s="278">
        <f t="shared" si="47"/>
        <v>-9780</v>
      </c>
      <c r="P183" s="291">
        <f t="shared" si="48"/>
        <v>-0.2794</v>
      </c>
      <c r="Q183" s="333">
        <v>35000</v>
      </c>
      <c r="R183" s="333">
        <f t="shared" si="45"/>
        <v>-9780</v>
      </c>
      <c r="T183" s="279">
        <v>34017</v>
      </c>
    </row>
    <row r="184" spans="1:20" ht="15">
      <c r="A184" s="75">
        <v>640</v>
      </c>
      <c r="B184" s="73">
        <v>500</v>
      </c>
      <c r="C184" s="73">
        <v>200</v>
      </c>
      <c r="D184" s="77">
        <v>550</v>
      </c>
      <c r="E184" s="77"/>
      <c r="F184" s="77"/>
      <c r="G184" s="65" t="s">
        <v>542</v>
      </c>
      <c r="H184" s="333">
        <v>0</v>
      </c>
      <c r="I184" s="333">
        <v>0</v>
      </c>
      <c r="J184" s="51"/>
      <c r="K184" s="64"/>
      <c r="L184" s="278">
        <f t="shared" si="46"/>
        <v>0</v>
      </c>
      <c r="M184" s="291" t="e">
        <f t="shared" si="44"/>
        <v>#DIV/0!</v>
      </c>
      <c r="N184" s="279">
        <v>0</v>
      </c>
      <c r="O184" s="278">
        <f t="shared" si="47"/>
        <v>0</v>
      </c>
      <c r="P184" s="291" t="e">
        <f t="shared" si="48"/>
        <v>#DIV/0!</v>
      </c>
      <c r="Q184" s="333">
        <v>0</v>
      </c>
      <c r="R184" s="333">
        <f t="shared" si="45"/>
        <v>0</v>
      </c>
      <c r="T184" s="279">
        <v>0</v>
      </c>
    </row>
    <row r="185" spans="1:20" ht="15">
      <c r="A185" s="75">
        <v>640</v>
      </c>
      <c r="B185" s="73">
        <v>500</v>
      </c>
      <c r="C185" s="73">
        <v>200</v>
      </c>
      <c r="D185" s="77">
        <v>600</v>
      </c>
      <c r="E185" s="77"/>
      <c r="F185" s="77"/>
      <c r="G185" s="65" t="s">
        <v>543</v>
      </c>
      <c r="H185" s="333">
        <v>0</v>
      </c>
      <c r="I185" s="333">
        <v>0</v>
      </c>
      <c r="J185" s="51"/>
      <c r="K185" s="64"/>
      <c r="L185" s="278">
        <f t="shared" si="46"/>
        <v>0</v>
      </c>
      <c r="M185" s="291" t="e">
        <f t="shared" si="44"/>
        <v>#DIV/0!</v>
      </c>
      <c r="N185" s="279">
        <v>0</v>
      </c>
      <c r="O185" s="278">
        <f t="shared" si="47"/>
        <v>0</v>
      </c>
      <c r="P185" s="291" t="e">
        <f t="shared" si="48"/>
        <v>#DIV/0!</v>
      </c>
      <c r="Q185" s="333">
        <v>0</v>
      </c>
      <c r="R185" s="333">
        <f t="shared" si="45"/>
        <v>0</v>
      </c>
      <c r="T185" s="279">
        <v>0</v>
      </c>
    </row>
    <row r="186" spans="1:20" ht="15">
      <c r="A186" s="75">
        <v>640</v>
      </c>
      <c r="B186" s="73">
        <v>500</v>
      </c>
      <c r="C186" s="73">
        <v>200</v>
      </c>
      <c r="D186" s="77">
        <v>900</v>
      </c>
      <c r="E186" s="77"/>
      <c r="F186" s="77"/>
      <c r="G186" s="65" t="s">
        <v>531</v>
      </c>
      <c r="H186" s="333">
        <v>241868</v>
      </c>
      <c r="I186" s="333">
        <v>309068</v>
      </c>
      <c r="J186" s="51"/>
      <c r="K186" s="64"/>
      <c r="L186" s="278">
        <f t="shared" si="46"/>
        <v>-67200</v>
      </c>
      <c r="M186" s="291">
        <f t="shared" si="44"/>
        <v>-0.2174</v>
      </c>
      <c r="N186" s="279">
        <f>200000+(1400+36007+1000+9000+71400)</f>
        <v>318807</v>
      </c>
      <c r="O186" s="278">
        <f t="shared" si="47"/>
        <v>-76939</v>
      </c>
      <c r="P186" s="291">
        <f t="shared" si="48"/>
        <v>-0.2413</v>
      </c>
      <c r="Q186" s="333">
        <v>268807</v>
      </c>
      <c r="R186" s="333">
        <f t="shared" si="45"/>
        <v>-26939</v>
      </c>
      <c r="T186" s="279">
        <v>309068</v>
      </c>
    </row>
    <row r="187" spans="1:20" s="50" customFormat="1" ht="15">
      <c r="A187" s="71">
        <v>650</v>
      </c>
      <c r="B187" s="72">
        <v>0</v>
      </c>
      <c r="C187" s="72">
        <v>0</v>
      </c>
      <c r="D187" s="72">
        <v>0</v>
      </c>
      <c r="E187" s="72">
        <v>0</v>
      </c>
      <c r="F187" s="72">
        <v>0</v>
      </c>
      <c r="G187" s="140" t="s">
        <v>544</v>
      </c>
      <c r="H187" s="336"/>
      <c r="I187" s="336"/>
      <c r="J187" s="141"/>
      <c r="K187" s="294"/>
      <c r="L187" s="273"/>
      <c r="M187" s="273"/>
      <c r="N187" s="273"/>
      <c r="O187" s="273"/>
      <c r="P187" s="273"/>
      <c r="Q187" s="336"/>
      <c r="R187" s="292"/>
      <c r="T187" s="273"/>
    </row>
    <row r="188" spans="1:20" ht="25.5">
      <c r="A188" s="75">
        <v>650</v>
      </c>
      <c r="B188" s="74">
        <v>100</v>
      </c>
      <c r="C188" s="74"/>
      <c r="D188" s="74"/>
      <c r="E188" s="74"/>
      <c r="F188" s="74"/>
      <c r="G188" s="65" t="s">
        <v>545</v>
      </c>
      <c r="H188" s="335">
        <v>819826</v>
      </c>
      <c r="I188" s="333">
        <v>826766</v>
      </c>
      <c r="J188" s="147" t="s">
        <v>72</v>
      </c>
      <c r="K188" s="296"/>
      <c r="L188" s="278">
        <f>H188-I188</f>
        <v>-6940</v>
      </c>
      <c r="M188" s="291">
        <f>L188/I188</f>
        <v>-0.0084</v>
      </c>
      <c r="N188" s="278">
        <v>820000</v>
      </c>
      <c r="O188" s="278">
        <f>H188-N188</f>
        <v>-174</v>
      </c>
      <c r="P188" s="291">
        <f>O188/N188</f>
        <v>-0.0002</v>
      </c>
      <c r="Q188" s="335">
        <v>820000</v>
      </c>
      <c r="R188" s="333">
        <f>H188-Q188</f>
        <v>-174</v>
      </c>
      <c r="T188" s="279">
        <v>826766</v>
      </c>
    </row>
    <row r="189" spans="1:20" ht="25.5">
      <c r="A189" s="75">
        <v>650</v>
      </c>
      <c r="B189" s="74">
        <v>200</v>
      </c>
      <c r="C189" s="74"/>
      <c r="D189" s="74"/>
      <c r="E189" s="74"/>
      <c r="F189" s="74"/>
      <c r="G189" s="65" t="s">
        <v>546</v>
      </c>
      <c r="H189" s="335">
        <v>0</v>
      </c>
      <c r="I189" s="333">
        <v>0</v>
      </c>
      <c r="J189" s="147" t="s">
        <v>73</v>
      </c>
      <c r="K189" s="296"/>
      <c r="L189" s="278">
        <f>H189-I189</f>
        <v>0</v>
      </c>
      <c r="M189" s="291" t="e">
        <f>L189/I189</f>
        <v>#DIV/0!</v>
      </c>
      <c r="N189" s="278">
        <v>0</v>
      </c>
      <c r="O189" s="278">
        <f>H189-N189</f>
        <v>0</v>
      </c>
      <c r="P189" s="291" t="e">
        <f>O189/N189</f>
        <v>#DIV/0!</v>
      </c>
      <c r="Q189" s="335">
        <v>0</v>
      </c>
      <c r="R189" s="333">
        <f>H189-Q189</f>
        <v>0</v>
      </c>
      <c r="T189" s="279">
        <v>0</v>
      </c>
    </row>
    <row r="190" spans="1:20" ht="25.5">
      <c r="A190" s="75">
        <v>650</v>
      </c>
      <c r="B190" s="74">
        <v>300</v>
      </c>
      <c r="C190" s="74"/>
      <c r="D190" s="74"/>
      <c r="E190" s="74"/>
      <c r="F190" s="74"/>
      <c r="G190" s="65" t="s">
        <v>547</v>
      </c>
      <c r="H190" s="335">
        <v>0</v>
      </c>
      <c r="I190" s="333">
        <v>0</v>
      </c>
      <c r="J190" s="147" t="s">
        <v>74</v>
      </c>
      <c r="K190" s="296"/>
      <c r="L190" s="278">
        <f>H190-I190</f>
        <v>0</v>
      </c>
      <c r="M190" s="291" t="e">
        <f>L190/I190</f>
        <v>#DIV/0!</v>
      </c>
      <c r="N190" s="278">
        <v>0</v>
      </c>
      <c r="O190" s="278">
        <f>H190-N190</f>
        <v>0</v>
      </c>
      <c r="P190" s="291" t="e">
        <f>O190/N190</f>
        <v>#DIV/0!</v>
      </c>
      <c r="Q190" s="335">
        <v>0</v>
      </c>
      <c r="R190" s="333">
        <f>H190-Q190</f>
        <v>0</v>
      </c>
      <c r="T190" s="279">
        <v>0</v>
      </c>
    </row>
    <row r="191" spans="1:20" s="50" customFormat="1" ht="15">
      <c r="A191" s="71">
        <v>660</v>
      </c>
      <c r="B191" s="72">
        <v>0</v>
      </c>
      <c r="C191" s="72">
        <v>0</v>
      </c>
      <c r="D191" s="72">
        <v>0</v>
      </c>
      <c r="E191" s="72">
        <v>0</v>
      </c>
      <c r="F191" s="72">
        <v>0</v>
      </c>
      <c r="G191" s="140" t="s">
        <v>548</v>
      </c>
      <c r="H191" s="336"/>
      <c r="I191" s="336"/>
      <c r="J191" s="141"/>
      <c r="K191" s="294"/>
      <c r="L191" s="273"/>
      <c r="M191" s="273"/>
      <c r="N191" s="273"/>
      <c r="O191" s="273"/>
      <c r="P191" s="273"/>
      <c r="Q191" s="336"/>
      <c r="R191" s="292"/>
      <c r="T191" s="273"/>
    </row>
    <row r="192" spans="1:20" ht="25.5">
      <c r="A192" s="75">
        <v>660</v>
      </c>
      <c r="B192" s="74">
        <v>100</v>
      </c>
      <c r="C192" s="74"/>
      <c r="D192" s="74"/>
      <c r="E192" s="74"/>
      <c r="F192" s="74"/>
      <c r="G192" s="65" t="s">
        <v>549</v>
      </c>
      <c r="H192" s="335">
        <v>1756648</v>
      </c>
      <c r="I192" s="333">
        <v>1830626</v>
      </c>
      <c r="J192" s="147" t="s">
        <v>75</v>
      </c>
      <c r="K192" s="296"/>
      <c r="L192" s="278">
        <f>H192-I192</f>
        <v>-73978</v>
      </c>
      <c r="M192" s="291">
        <f aca="true" t="shared" si="49" ref="M192:M198">L192/I192</f>
        <v>-0.0404</v>
      </c>
      <c r="N192" s="278">
        <v>1770301</v>
      </c>
      <c r="O192" s="278">
        <f>H192-N192</f>
        <v>-13653</v>
      </c>
      <c r="P192" s="291">
        <f>O192/N192</f>
        <v>-0.0077</v>
      </c>
      <c r="Q192" s="335">
        <v>1770301</v>
      </c>
      <c r="R192" s="333">
        <f aca="true" t="shared" si="50" ref="R192:R198">H192-Q192</f>
        <v>-13653</v>
      </c>
      <c r="T192" s="279">
        <v>1830626</v>
      </c>
    </row>
    <row r="193" spans="1:20" ht="25.5">
      <c r="A193" s="75">
        <v>660</v>
      </c>
      <c r="B193" s="74">
        <v>200</v>
      </c>
      <c r="C193" s="74"/>
      <c r="D193" s="74"/>
      <c r="E193" s="74"/>
      <c r="F193" s="74"/>
      <c r="G193" s="65" t="s">
        <v>550</v>
      </c>
      <c r="H193" s="335">
        <v>1434041</v>
      </c>
      <c r="I193" s="333">
        <v>2109148</v>
      </c>
      <c r="J193" s="147" t="s">
        <v>76</v>
      </c>
      <c r="K193" s="296"/>
      <c r="L193" s="278">
        <f aca="true" t="shared" si="51" ref="L193:L198">H193-I193</f>
        <v>-675107</v>
      </c>
      <c r="M193" s="291">
        <f t="shared" si="49"/>
        <v>-0.3201</v>
      </c>
      <c r="N193" s="278">
        <v>2504988</v>
      </c>
      <c r="O193" s="278">
        <f aca="true" t="shared" si="52" ref="O193:O198">H193-N193</f>
        <v>-1070947</v>
      </c>
      <c r="P193" s="291">
        <f aca="true" t="shared" si="53" ref="P193:P198">O193/N193</f>
        <v>-0.4275</v>
      </c>
      <c r="Q193" s="335">
        <v>2504988</v>
      </c>
      <c r="R193" s="333">
        <f t="shared" si="50"/>
        <v>-1070947</v>
      </c>
      <c r="T193" s="279">
        <v>2109148</v>
      </c>
    </row>
    <row r="194" spans="1:20" ht="25.5">
      <c r="A194" s="75">
        <v>660</v>
      </c>
      <c r="B194" s="74">
        <v>300</v>
      </c>
      <c r="C194" s="74"/>
      <c r="D194" s="74"/>
      <c r="E194" s="74"/>
      <c r="F194" s="74"/>
      <c r="G194" s="65" t="s">
        <v>551</v>
      </c>
      <c r="H194" s="335">
        <v>1025092</v>
      </c>
      <c r="I194" s="333">
        <v>0</v>
      </c>
      <c r="J194" s="147" t="s">
        <v>77</v>
      </c>
      <c r="K194" s="296"/>
      <c r="L194" s="278">
        <f t="shared" si="51"/>
        <v>1025092</v>
      </c>
      <c r="M194" s="291" t="e">
        <f t="shared" si="49"/>
        <v>#DIV/0!</v>
      </c>
      <c r="N194" s="278">
        <v>0</v>
      </c>
      <c r="O194" s="278">
        <f t="shared" si="52"/>
        <v>1025092</v>
      </c>
      <c r="P194" s="291" t="e">
        <f t="shared" si="53"/>
        <v>#DIV/0!</v>
      </c>
      <c r="Q194" s="335">
        <v>0</v>
      </c>
      <c r="R194" s="333">
        <f t="shared" si="50"/>
        <v>1025092</v>
      </c>
      <c r="T194" s="279">
        <v>0</v>
      </c>
    </row>
    <row r="195" spans="1:20" ht="25.5">
      <c r="A195" s="75">
        <v>660</v>
      </c>
      <c r="B195" s="74">
        <v>400</v>
      </c>
      <c r="C195" s="74"/>
      <c r="D195" s="74"/>
      <c r="E195" s="74"/>
      <c r="F195" s="74"/>
      <c r="G195" s="65" t="s">
        <v>552</v>
      </c>
      <c r="H195" s="335">
        <v>0</v>
      </c>
      <c r="I195" s="333">
        <v>0</v>
      </c>
      <c r="J195" s="147" t="s">
        <v>78</v>
      </c>
      <c r="K195" s="296"/>
      <c r="L195" s="278">
        <f t="shared" si="51"/>
        <v>0</v>
      </c>
      <c r="M195" s="291" t="e">
        <f t="shared" si="49"/>
        <v>#DIV/0!</v>
      </c>
      <c r="N195" s="278">
        <v>0</v>
      </c>
      <c r="O195" s="278">
        <f t="shared" si="52"/>
        <v>0</v>
      </c>
      <c r="P195" s="291" t="e">
        <f t="shared" si="53"/>
        <v>#DIV/0!</v>
      </c>
      <c r="Q195" s="335">
        <v>0</v>
      </c>
      <c r="R195" s="333">
        <f t="shared" si="50"/>
        <v>0</v>
      </c>
      <c r="T195" s="279">
        <v>0</v>
      </c>
    </row>
    <row r="196" spans="1:20" ht="25.5">
      <c r="A196" s="75">
        <v>660</v>
      </c>
      <c r="B196" s="74">
        <v>500</v>
      </c>
      <c r="C196" s="74"/>
      <c r="D196" s="74"/>
      <c r="E196" s="74"/>
      <c r="F196" s="74"/>
      <c r="G196" s="65" t="s">
        <v>553</v>
      </c>
      <c r="H196" s="335">
        <v>0</v>
      </c>
      <c r="I196" s="333">
        <v>0</v>
      </c>
      <c r="J196" s="147" t="s">
        <v>79</v>
      </c>
      <c r="K196" s="296"/>
      <c r="L196" s="278">
        <f t="shared" si="51"/>
        <v>0</v>
      </c>
      <c r="M196" s="291" t="e">
        <f t="shared" si="49"/>
        <v>#DIV/0!</v>
      </c>
      <c r="N196" s="278">
        <v>0</v>
      </c>
      <c r="O196" s="278">
        <f t="shared" si="52"/>
        <v>0</v>
      </c>
      <c r="P196" s="291" t="e">
        <f t="shared" si="53"/>
        <v>#DIV/0!</v>
      </c>
      <c r="Q196" s="335">
        <v>0</v>
      </c>
      <c r="R196" s="333">
        <f t="shared" si="50"/>
        <v>0</v>
      </c>
      <c r="T196" s="279">
        <v>0</v>
      </c>
    </row>
    <row r="197" spans="1:20" ht="15">
      <c r="A197" s="75">
        <v>660</v>
      </c>
      <c r="B197" s="74">
        <v>600</v>
      </c>
      <c r="C197" s="74"/>
      <c r="D197" s="74"/>
      <c r="E197" s="74"/>
      <c r="F197" s="74"/>
      <c r="G197" s="65" t="s">
        <v>554</v>
      </c>
      <c r="H197" s="335">
        <v>634030</v>
      </c>
      <c r="I197" s="333">
        <v>930320</v>
      </c>
      <c r="J197" s="147" t="s">
        <v>80</v>
      </c>
      <c r="K197" s="296"/>
      <c r="L197" s="278">
        <f t="shared" si="51"/>
        <v>-296290</v>
      </c>
      <c r="M197" s="291">
        <f t="shared" si="49"/>
        <v>-0.3185</v>
      </c>
      <c r="N197" s="278">
        <v>950432</v>
      </c>
      <c r="O197" s="278">
        <f t="shared" si="52"/>
        <v>-316402</v>
      </c>
      <c r="P197" s="291">
        <f t="shared" si="53"/>
        <v>-0.3329</v>
      </c>
      <c r="Q197" s="335">
        <v>950432</v>
      </c>
      <c r="R197" s="333">
        <f t="shared" si="50"/>
        <v>-316402</v>
      </c>
      <c r="T197" s="279">
        <v>930320</v>
      </c>
    </row>
    <row r="198" spans="1:20" s="50" customFormat="1" ht="15">
      <c r="A198" s="71">
        <v>670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140" t="s">
        <v>276</v>
      </c>
      <c r="H198" s="338">
        <v>0</v>
      </c>
      <c r="I198" s="333">
        <v>0</v>
      </c>
      <c r="J198" s="141" t="s">
        <v>81</v>
      </c>
      <c r="K198" s="294"/>
      <c r="L198" s="278">
        <f t="shared" si="51"/>
        <v>0</v>
      </c>
      <c r="M198" s="291" t="e">
        <f t="shared" si="49"/>
        <v>#DIV/0!</v>
      </c>
      <c r="N198" s="282">
        <v>0</v>
      </c>
      <c r="O198" s="278">
        <f t="shared" si="52"/>
        <v>0</v>
      </c>
      <c r="P198" s="291" t="e">
        <f t="shared" si="53"/>
        <v>#DIV/0!</v>
      </c>
      <c r="Q198" s="338">
        <v>0</v>
      </c>
      <c r="R198" s="333">
        <f t="shared" si="50"/>
        <v>0</v>
      </c>
      <c r="T198" s="279">
        <v>0</v>
      </c>
    </row>
    <row r="199" spans="1:20" s="50" customFormat="1" ht="15">
      <c r="A199" s="71">
        <v>680</v>
      </c>
      <c r="B199" s="72">
        <v>0</v>
      </c>
      <c r="C199" s="72">
        <v>0</v>
      </c>
      <c r="D199" s="72">
        <v>0</v>
      </c>
      <c r="E199" s="72">
        <v>0</v>
      </c>
      <c r="F199" s="72">
        <v>0</v>
      </c>
      <c r="G199" s="140" t="s">
        <v>555</v>
      </c>
      <c r="H199" s="336"/>
      <c r="I199" s="336"/>
      <c r="J199" s="141"/>
      <c r="K199" s="294"/>
      <c r="L199" s="273"/>
      <c r="M199" s="273"/>
      <c r="N199" s="273"/>
      <c r="O199" s="273"/>
      <c r="P199" s="273"/>
      <c r="Q199" s="336"/>
      <c r="R199" s="292"/>
      <c r="T199" s="273"/>
    </row>
    <row r="200" spans="1:20" ht="15">
      <c r="A200" s="75">
        <v>680</v>
      </c>
      <c r="B200" s="73">
        <v>100</v>
      </c>
      <c r="C200" s="73"/>
      <c r="D200" s="73"/>
      <c r="E200" s="73"/>
      <c r="F200" s="73"/>
      <c r="G200" s="66" t="s">
        <v>556</v>
      </c>
      <c r="H200" s="334"/>
      <c r="I200" s="334"/>
      <c r="J200" s="147" t="s">
        <v>82</v>
      </c>
      <c r="K200" s="296"/>
      <c r="L200" s="272"/>
      <c r="M200" s="272"/>
      <c r="N200" s="272"/>
      <c r="O200" s="272"/>
      <c r="P200" s="291"/>
      <c r="Q200" s="334"/>
      <c r="R200" s="298"/>
      <c r="T200" s="272"/>
    </row>
    <row r="201" spans="1:20" ht="15">
      <c r="A201" s="75">
        <v>680</v>
      </c>
      <c r="B201" s="73">
        <v>100</v>
      </c>
      <c r="C201" s="77">
        <v>100</v>
      </c>
      <c r="D201" s="77"/>
      <c r="E201" s="77"/>
      <c r="F201" s="77"/>
      <c r="G201" s="65" t="s">
        <v>557</v>
      </c>
      <c r="H201" s="333">
        <v>5900</v>
      </c>
      <c r="I201" s="333">
        <v>3800</v>
      </c>
      <c r="J201" s="51"/>
      <c r="K201" s="64"/>
      <c r="L201" s="278">
        <f>H201-I201</f>
        <v>2100</v>
      </c>
      <c r="M201" s="291">
        <f>L201/I201</f>
        <v>0.5526</v>
      </c>
      <c r="N201" s="279">
        <v>5000</v>
      </c>
      <c r="O201" s="278">
        <f>H201-N201</f>
        <v>900</v>
      </c>
      <c r="P201" s="291">
        <f>O201/N201</f>
        <v>0.18</v>
      </c>
      <c r="Q201" s="333">
        <v>5000</v>
      </c>
      <c r="R201" s="333">
        <f>H201-Q201</f>
        <v>900</v>
      </c>
      <c r="T201" s="279">
        <v>3800</v>
      </c>
    </row>
    <row r="202" spans="1:20" ht="15">
      <c r="A202" s="75">
        <v>680</v>
      </c>
      <c r="B202" s="73">
        <v>100</v>
      </c>
      <c r="C202" s="77">
        <v>200</v>
      </c>
      <c r="D202" s="77"/>
      <c r="E202" s="77"/>
      <c r="F202" s="77"/>
      <c r="G202" s="65" t="s">
        <v>558</v>
      </c>
      <c r="H202" s="333">
        <v>761</v>
      </c>
      <c r="I202" s="333">
        <v>1089</v>
      </c>
      <c r="J202" s="51"/>
      <c r="K202" s="64"/>
      <c r="L202" s="278">
        <f>H202-I202</f>
        <v>-328</v>
      </c>
      <c r="M202" s="291">
        <f>L202/I202</f>
        <v>-0.3012</v>
      </c>
      <c r="N202" s="279">
        <v>1000</v>
      </c>
      <c r="O202" s="278">
        <f>H202-N202</f>
        <v>-239</v>
      </c>
      <c r="P202" s="291">
        <f>O202/N202</f>
        <v>-0.239</v>
      </c>
      <c r="Q202" s="333">
        <v>1000</v>
      </c>
      <c r="R202" s="333">
        <f>H202-Q202</f>
        <v>-239</v>
      </c>
      <c r="T202" s="279">
        <v>1089</v>
      </c>
    </row>
    <row r="203" spans="1:21" ht="15">
      <c r="A203" s="75">
        <v>680</v>
      </c>
      <c r="B203" s="73">
        <v>100</v>
      </c>
      <c r="C203" s="77">
        <v>900</v>
      </c>
      <c r="D203" s="77"/>
      <c r="E203" s="77"/>
      <c r="F203" s="77"/>
      <c r="G203" s="65" t="s">
        <v>559</v>
      </c>
      <c r="H203" s="333">
        <v>0</v>
      </c>
      <c r="I203" s="333">
        <f>4795+234587</f>
        <v>239382</v>
      </c>
      <c r="J203" s="51"/>
      <c r="K203" s="64"/>
      <c r="L203" s="278">
        <f>H203-I203</f>
        <v>-239382</v>
      </c>
      <c r="M203" s="291">
        <f>L203/I203</f>
        <v>-1</v>
      </c>
      <c r="N203" s="279">
        <v>0</v>
      </c>
      <c r="O203" s="278">
        <f>H203-N203</f>
        <v>0</v>
      </c>
      <c r="P203" s="291" t="e">
        <f>O203/N203</f>
        <v>#DIV/0!</v>
      </c>
      <c r="Q203" s="333">
        <v>0</v>
      </c>
      <c r="R203" s="333">
        <f>H203-Q203</f>
        <v>0</v>
      </c>
      <c r="T203" s="279">
        <v>0</v>
      </c>
      <c r="U203" s="67" t="s">
        <v>662</v>
      </c>
    </row>
    <row r="204" spans="1:20" ht="15">
      <c r="A204" s="75">
        <v>680</v>
      </c>
      <c r="B204" s="73">
        <v>200</v>
      </c>
      <c r="C204" s="73"/>
      <c r="D204" s="73"/>
      <c r="E204" s="73"/>
      <c r="F204" s="73"/>
      <c r="G204" s="66" t="s">
        <v>560</v>
      </c>
      <c r="H204" s="337"/>
      <c r="I204" s="334"/>
      <c r="J204" s="147" t="s">
        <v>83</v>
      </c>
      <c r="K204" s="296"/>
      <c r="L204" s="272"/>
      <c r="M204" s="272"/>
      <c r="N204" s="272"/>
      <c r="O204" s="272"/>
      <c r="P204" s="272"/>
      <c r="Q204" s="334"/>
      <c r="R204" s="292"/>
      <c r="T204" s="272"/>
    </row>
    <row r="205" spans="1:20" ht="15">
      <c r="A205" s="75">
        <v>680</v>
      </c>
      <c r="B205" s="73">
        <v>200</v>
      </c>
      <c r="C205" s="77">
        <v>100</v>
      </c>
      <c r="D205" s="77"/>
      <c r="E205" s="77"/>
      <c r="F205" s="77"/>
      <c r="G205" s="65" t="s">
        <v>561</v>
      </c>
      <c r="H205" s="333">
        <v>0</v>
      </c>
      <c r="I205" s="333">
        <v>0</v>
      </c>
      <c r="J205" s="51"/>
      <c r="K205" s="64"/>
      <c r="L205" s="278">
        <f>H205-I205</f>
        <v>0</v>
      </c>
      <c r="M205" s="291" t="e">
        <f>L205/I205</f>
        <v>#DIV/0!</v>
      </c>
      <c r="N205" s="279">
        <v>0</v>
      </c>
      <c r="O205" s="278">
        <f>H205-N205</f>
        <v>0</v>
      </c>
      <c r="P205" s="291" t="e">
        <f>O205/N205</f>
        <v>#DIV/0!</v>
      </c>
      <c r="Q205" s="333">
        <v>0</v>
      </c>
      <c r="R205" s="333">
        <f>H205-Q205</f>
        <v>0</v>
      </c>
      <c r="T205" s="279">
        <v>0</v>
      </c>
    </row>
    <row r="206" spans="1:20" ht="15">
      <c r="A206" s="75">
        <v>680</v>
      </c>
      <c r="B206" s="73">
        <v>200</v>
      </c>
      <c r="C206" s="77">
        <v>200</v>
      </c>
      <c r="D206" s="77"/>
      <c r="E206" s="77"/>
      <c r="F206" s="77"/>
      <c r="G206" s="65" t="s">
        <v>562</v>
      </c>
      <c r="H206" s="333">
        <v>82494</v>
      </c>
      <c r="I206" s="333">
        <v>82575</v>
      </c>
      <c r="J206" s="51"/>
      <c r="K206" s="64"/>
      <c r="L206" s="278">
        <f>H206-I206</f>
        <v>-81</v>
      </c>
      <c r="M206" s="291">
        <f>L206/I206</f>
        <v>-0.001</v>
      </c>
      <c r="N206" s="279">
        <f>6872*12</f>
        <v>82464</v>
      </c>
      <c r="O206" s="278">
        <f>H206-N206</f>
        <v>30</v>
      </c>
      <c r="P206" s="291">
        <f>O206/N206</f>
        <v>0.0004</v>
      </c>
      <c r="Q206" s="333">
        <v>82464</v>
      </c>
      <c r="R206" s="333">
        <f>H206-Q206</f>
        <v>30</v>
      </c>
      <c r="T206" s="279">
        <v>82575</v>
      </c>
    </row>
    <row r="207" spans="1:20" ht="15">
      <c r="A207" s="75">
        <v>680</v>
      </c>
      <c r="B207" s="73">
        <v>200</v>
      </c>
      <c r="C207" s="77">
        <v>900</v>
      </c>
      <c r="D207" s="77"/>
      <c r="E207" s="77"/>
      <c r="F207" s="77"/>
      <c r="G207" s="65" t="s">
        <v>563</v>
      </c>
      <c r="H207" s="333">
        <v>0</v>
      </c>
      <c r="I207" s="333">
        <v>0</v>
      </c>
      <c r="J207" s="51"/>
      <c r="K207" s="64"/>
      <c r="L207" s="278">
        <f>H207-I207</f>
        <v>0</v>
      </c>
      <c r="M207" s="291" t="e">
        <f>L207/I207</f>
        <v>#DIV/0!</v>
      </c>
      <c r="N207" s="279">
        <v>0</v>
      </c>
      <c r="O207" s="278">
        <f>H207-N207</f>
        <v>0</v>
      </c>
      <c r="P207" s="291" t="e">
        <f>O207/N207</f>
        <v>#DIV/0!</v>
      </c>
      <c r="Q207" s="333">
        <v>0</v>
      </c>
      <c r="R207" s="333">
        <f>H207-Q207</f>
        <v>0</v>
      </c>
      <c r="T207" s="279">
        <v>0</v>
      </c>
    </row>
    <row r="208" spans="1:20" ht="15">
      <c r="A208" s="75">
        <v>680</v>
      </c>
      <c r="B208" s="78">
        <v>300</v>
      </c>
      <c r="C208" s="73"/>
      <c r="D208" s="73"/>
      <c r="E208" s="73"/>
      <c r="F208" s="73"/>
      <c r="G208" s="82" t="s">
        <v>564</v>
      </c>
      <c r="H208" s="337"/>
      <c r="I208" s="337"/>
      <c r="J208" s="147" t="s">
        <v>84</v>
      </c>
      <c r="K208" s="296"/>
      <c r="L208" s="272"/>
      <c r="M208" s="149"/>
      <c r="N208" s="272"/>
      <c r="O208" s="272"/>
      <c r="P208" s="272"/>
      <c r="Q208" s="334"/>
      <c r="R208" s="292"/>
      <c r="T208" s="149"/>
    </row>
    <row r="209" spans="1:20" ht="15">
      <c r="A209" s="75">
        <v>680</v>
      </c>
      <c r="B209" s="78">
        <v>300</v>
      </c>
      <c r="C209" s="77">
        <v>100</v>
      </c>
      <c r="D209" s="77"/>
      <c r="E209" s="77"/>
      <c r="F209" s="77"/>
      <c r="G209" s="65" t="s">
        <v>565</v>
      </c>
      <c r="H209" s="333">
        <v>69552</v>
      </c>
      <c r="I209" s="333">
        <v>69552</v>
      </c>
      <c r="J209" s="51"/>
      <c r="K209" s="64"/>
      <c r="L209" s="278">
        <f>H209-I209</f>
        <v>0</v>
      </c>
      <c r="M209" s="291">
        <f>L209/I209</f>
        <v>0</v>
      </c>
      <c r="N209" s="279">
        <v>69552</v>
      </c>
      <c r="O209" s="278">
        <f>H209-N209</f>
        <v>0</v>
      </c>
      <c r="P209" s="291">
        <f>O209/N209</f>
        <v>0</v>
      </c>
      <c r="Q209" s="333">
        <v>69552</v>
      </c>
      <c r="R209" s="333">
        <f>H209-Q209</f>
        <v>0</v>
      </c>
      <c r="T209" s="279">
        <v>69552</v>
      </c>
    </row>
    <row r="210" spans="1:20" ht="15">
      <c r="A210" s="75">
        <v>680</v>
      </c>
      <c r="B210" s="78">
        <v>300</v>
      </c>
      <c r="C210" s="77">
        <v>200</v>
      </c>
      <c r="D210" s="77"/>
      <c r="E210" s="77"/>
      <c r="F210" s="77"/>
      <c r="G210" s="65" t="s">
        <v>566</v>
      </c>
      <c r="H210" s="333">
        <v>0</v>
      </c>
      <c r="I210" s="333">
        <v>0</v>
      </c>
      <c r="J210" s="51"/>
      <c r="K210" s="64"/>
      <c r="L210" s="278">
        <f>H210-I210</f>
        <v>0</v>
      </c>
      <c r="M210" s="291" t="e">
        <f>L210/I210</f>
        <v>#DIV/0!</v>
      </c>
      <c r="N210" s="279">
        <v>0</v>
      </c>
      <c r="O210" s="278">
        <f>H210-N210</f>
        <v>0</v>
      </c>
      <c r="P210" s="291" t="e">
        <f>O210/N210</f>
        <v>#DIV/0!</v>
      </c>
      <c r="Q210" s="333">
        <v>0</v>
      </c>
      <c r="R210" s="333">
        <f>H210-Q210</f>
        <v>0</v>
      </c>
      <c r="T210" s="279">
        <v>0</v>
      </c>
    </row>
    <row r="211" spans="1:20" ht="15">
      <c r="A211" s="75">
        <v>680</v>
      </c>
      <c r="B211" s="78">
        <v>300</v>
      </c>
      <c r="C211" s="77">
        <v>900</v>
      </c>
      <c r="D211" s="77"/>
      <c r="E211" s="77"/>
      <c r="F211" s="77"/>
      <c r="G211" s="65" t="s">
        <v>564</v>
      </c>
      <c r="H211" s="333">
        <v>51</v>
      </c>
      <c r="I211" s="333">
        <v>0</v>
      </c>
      <c r="J211" s="51"/>
      <c r="K211" s="64"/>
      <c r="L211" s="278">
        <f>H211-I211</f>
        <v>51</v>
      </c>
      <c r="M211" s="291" t="e">
        <f>L211/I211</f>
        <v>#DIV/0!</v>
      </c>
      <c r="N211" s="279">
        <v>0</v>
      </c>
      <c r="O211" s="278">
        <f>H211-N211</f>
        <v>51</v>
      </c>
      <c r="P211" s="291" t="e">
        <f>O211/N211</f>
        <v>#DIV/0!</v>
      </c>
      <c r="Q211" s="333">
        <v>0</v>
      </c>
      <c r="R211" s="333">
        <f>H211-Q211</f>
        <v>51</v>
      </c>
      <c r="T211" s="279">
        <v>0</v>
      </c>
    </row>
    <row r="212" spans="1:20" ht="15">
      <c r="A212" s="71">
        <v>690</v>
      </c>
      <c r="B212" s="72">
        <v>0</v>
      </c>
      <c r="C212" s="72">
        <v>0</v>
      </c>
      <c r="D212" s="72">
        <v>0</v>
      </c>
      <c r="E212" s="72">
        <v>0</v>
      </c>
      <c r="F212" s="72">
        <v>0</v>
      </c>
      <c r="G212" s="140" t="s">
        <v>567</v>
      </c>
      <c r="H212" s="336"/>
      <c r="I212" s="336"/>
      <c r="J212" s="141"/>
      <c r="K212" s="294"/>
      <c r="L212" s="273"/>
      <c r="M212" s="273"/>
      <c r="N212" s="273"/>
      <c r="O212" s="273"/>
      <c r="P212" s="273"/>
      <c r="Q212" s="336"/>
      <c r="R212" s="292"/>
      <c r="T212" s="273"/>
    </row>
    <row r="213" spans="1:20" s="53" customFormat="1" ht="12.75">
      <c r="A213" s="79">
        <v>690</v>
      </c>
      <c r="B213" s="77">
        <v>100</v>
      </c>
      <c r="C213" s="77"/>
      <c r="D213" s="77"/>
      <c r="E213" s="77"/>
      <c r="F213" s="77"/>
      <c r="G213" s="65" t="s">
        <v>568</v>
      </c>
      <c r="H213" s="335">
        <v>82</v>
      </c>
      <c r="I213" s="333">
        <v>129</v>
      </c>
      <c r="J213" s="51" t="s">
        <v>85</v>
      </c>
      <c r="K213" s="64"/>
      <c r="L213" s="278">
        <f>H213-I213</f>
        <v>-47</v>
      </c>
      <c r="M213" s="291">
        <f>L213/I213</f>
        <v>-0.3643</v>
      </c>
      <c r="N213" s="278">
        <v>100</v>
      </c>
      <c r="O213" s="278">
        <f>H213-N213</f>
        <v>-18</v>
      </c>
      <c r="P213" s="291">
        <f>O213/N213</f>
        <v>-0.18</v>
      </c>
      <c r="Q213" s="335">
        <v>100</v>
      </c>
      <c r="R213" s="333">
        <f>H213-Q213</f>
        <v>-18</v>
      </c>
      <c r="T213" s="279">
        <v>129</v>
      </c>
    </row>
    <row r="214" spans="1:20" ht="15">
      <c r="A214" s="79">
        <v>690</v>
      </c>
      <c r="B214" s="76">
        <v>200</v>
      </c>
      <c r="C214" s="76"/>
      <c r="D214" s="76"/>
      <c r="E214" s="76"/>
      <c r="F214" s="76"/>
      <c r="G214" s="66" t="s">
        <v>569</v>
      </c>
      <c r="H214" s="337"/>
      <c r="I214" s="337"/>
      <c r="J214" s="51" t="s">
        <v>86</v>
      </c>
      <c r="K214" s="64"/>
      <c r="L214" s="272"/>
      <c r="M214" s="272"/>
      <c r="N214" s="272"/>
      <c r="O214" s="272"/>
      <c r="P214" s="272"/>
      <c r="Q214" s="334"/>
      <c r="R214" s="292"/>
      <c r="T214" s="149"/>
    </row>
    <row r="215" spans="1:20" ht="15">
      <c r="A215" s="79">
        <v>690</v>
      </c>
      <c r="B215" s="76">
        <v>200</v>
      </c>
      <c r="C215" s="77">
        <v>100</v>
      </c>
      <c r="D215" s="77"/>
      <c r="E215" s="77"/>
      <c r="F215" s="77"/>
      <c r="G215" s="142" t="s">
        <v>570</v>
      </c>
      <c r="H215" s="339">
        <v>1</v>
      </c>
      <c r="I215" s="333">
        <v>5</v>
      </c>
      <c r="J215" s="51"/>
      <c r="K215" s="64"/>
      <c r="L215" s="278">
        <f>H215-I215</f>
        <v>-4</v>
      </c>
      <c r="M215" s="291">
        <f>L215/I215</f>
        <v>-0.8</v>
      </c>
      <c r="N215" s="280">
        <v>50</v>
      </c>
      <c r="O215" s="278">
        <f>H215-N215</f>
        <v>-49</v>
      </c>
      <c r="P215" s="291">
        <f>O215/N215</f>
        <v>-0.98</v>
      </c>
      <c r="Q215" s="339">
        <v>50</v>
      </c>
      <c r="R215" s="333">
        <f>H215-Q215</f>
        <v>-49</v>
      </c>
      <c r="T215" s="279">
        <v>5</v>
      </c>
    </row>
    <row r="216" spans="1:20" ht="15">
      <c r="A216" s="79">
        <v>690</v>
      </c>
      <c r="B216" s="76">
        <v>200</v>
      </c>
      <c r="C216" s="83">
        <v>200</v>
      </c>
      <c r="D216" s="83"/>
      <c r="E216" s="83"/>
      <c r="F216" s="83"/>
      <c r="G216" s="146" t="s">
        <v>571</v>
      </c>
      <c r="H216" s="340">
        <v>3</v>
      </c>
      <c r="I216" s="333">
        <v>12</v>
      </c>
      <c r="J216" s="51"/>
      <c r="K216" s="64"/>
      <c r="L216" s="278">
        <f>H216-I216</f>
        <v>-9</v>
      </c>
      <c r="M216" s="291">
        <f>L216/I216</f>
        <v>-0.75</v>
      </c>
      <c r="N216" s="300">
        <v>0</v>
      </c>
      <c r="O216" s="278">
        <f>H216-N216</f>
        <v>3</v>
      </c>
      <c r="P216" s="291" t="e">
        <f>O216/N216</f>
        <v>#DIV/0!</v>
      </c>
      <c r="Q216" s="340">
        <v>0</v>
      </c>
      <c r="R216" s="333">
        <f>H216-Q216</f>
        <v>3</v>
      </c>
      <c r="T216" s="279">
        <v>12</v>
      </c>
    </row>
    <row r="217" spans="1:20" ht="15">
      <c r="A217" s="79">
        <v>690</v>
      </c>
      <c r="B217" s="76">
        <v>300</v>
      </c>
      <c r="C217" s="76"/>
      <c r="D217" s="76"/>
      <c r="E217" s="76"/>
      <c r="F217" s="76"/>
      <c r="G217" s="66" t="s">
        <v>572</v>
      </c>
      <c r="H217" s="334"/>
      <c r="I217" s="334"/>
      <c r="J217" s="51" t="s">
        <v>87</v>
      </c>
      <c r="K217" s="64"/>
      <c r="L217" s="272"/>
      <c r="M217" s="272"/>
      <c r="N217" s="272"/>
      <c r="O217" s="272"/>
      <c r="P217" s="272"/>
      <c r="Q217" s="334"/>
      <c r="R217" s="292"/>
      <c r="T217" s="272"/>
    </row>
    <row r="218" spans="1:20" ht="15">
      <c r="A218" s="79">
        <v>690</v>
      </c>
      <c r="B218" s="76">
        <v>300</v>
      </c>
      <c r="C218" s="77">
        <v>100</v>
      </c>
      <c r="D218" s="77"/>
      <c r="E218" s="77"/>
      <c r="F218" s="77"/>
      <c r="G218" s="142" t="s">
        <v>573</v>
      </c>
      <c r="H218" s="339">
        <v>0</v>
      </c>
      <c r="I218" s="333">
        <v>0</v>
      </c>
      <c r="J218" s="51"/>
      <c r="K218" s="64"/>
      <c r="L218" s="278">
        <f aca="true" t="shared" si="54" ref="L218:L225">H218-I218</f>
        <v>0</v>
      </c>
      <c r="M218" s="291" t="e">
        <f aca="true" t="shared" si="55" ref="M218:M225">L218/I218</f>
        <v>#DIV/0!</v>
      </c>
      <c r="N218" s="280">
        <v>0</v>
      </c>
      <c r="O218" s="278">
        <f aca="true" t="shared" si="56" ref="O218:O226">H218-N218</f>
        <v>0</v>
      </c>
      <c r="P218" s="291" t="e">
        <f aca="true" t="shared" si="57" ref="P218:P225">O218/N218</f>
        <v>#DIV/0!</v>
      </c>
      <c r="Q218" s="339">
        <v>0</v>
      </c>
      <c r="R218" s="333">
        <f>H218-Q218</f>
        <v>0</v>
      </c>
      <c r="T218" s="279">
        <v>0</v>
      </c>
    </row>
    <row r="219" spans="1:20" ht="15">
      <c r="A219" s="79">
        <v>690</v>
      </c>
      <c r="B219" s="76">
        <v>300</v>
      </c>
      <c r="C219" s="77">
        <v>200</v>
      </c>
      <c r="D219" s="77"/>
      <c r="E219" s="77"/>
      <c r="F219" s="77"/>
      <c r="G219" s="142" t="s">
        <v>374</v>
      </c>
      <c r="H219" s="339">
        <v>0</v>
      </c>
      <c r="I219" s="333">
        <v>0</v>
      </c>
      <c r="J219" s="51"/>
      <c r="K219" s="64"/>
      <c r="L219" s="278">
        <f t="shared" si="54"/>
        <v>0</v>
      </c>
      <c r="M219" s="291" t="e">
        <f t="shared" si="55"/>
        <v>#DIV/0!</v>
      </c>
      <c r="N219" s="280">
        <v>0</v>
      </c>
      <c r="O219" s="278">
        <f t="shared" si="56"/>
        <v>0</v>
      </c>
      <c r="P219" s="291" t="e">
        <f t="shared" si="57"/>
        <v>#DIV/0!</v>
      </c>
      <c r="Q219" s="339">
        <v>0</v>
      </c>
      <c r="R219" s="333">
        <f>H219-Q219</f>
        <v>0</v>
      </c>
      <c r="T219" s="279">
        <v>0</v>
      </c>
    </row>
    <row r="220" spans="1:20" ht="15">
      <c r="A220" s="79">
        <v>690</v>
      </c>
      <c r="B220" s="76">
        <v>300</v>
      </c>
      <c r="C220" s="83">
        <v>900</v>
      </c>
      <c r="D220" s="83"/>
      <c r="E220" s="83"/>
      <c r="F220" s="83"/>
      <c r="G220" s="146" t="s">
        <v>572</v>
      </c>
      <c r="H220" s="340">
        <v>0</v>
      </c>
      <c r="I220" s="333">
        <v>0</v>
      </c>
      <c r="J220" s="51"/>
      <c r="K220" s="64"/>
      <c r="L220" s="278">
        <f t="shared" si="54"/>
        <v>0</v>
      </c>
      <c r="M220" s="291" t="e">
        <f t="shared" si="55"/>
        <v>#DIV/0!</v>
      </c>
      <c r="N220" s="279">
        <v>0</v>
      </c>
      <c r="O220" s="278">
        <f t="shared" si="56"/>
        <v>0</v>
      </c>
      <c r="P220" s="291" t="e">
        <f t="shared" si="57"/>
        <v>#DIV/0!</v>
      </c>
      <c r="Q220" s="333">
        <v>0</v>
      </c>
      <c r="R220" s="333">
        <f>H220-Q220</f>
        <v>0</v>
      </c>
      <c r="T220" s="279">
        <v>0</v>
      </c>
    </row>
    <row r="221" spans="1:20" ht="15">
      <c r="A221" s="71">
        <v>700</v>
      </c>
      <c r="B221" s="72">
        <v>0</v>
      </c>
      <c r="C221" s="72">
        <v>0</v>
      </c>
      <c r="D221" s="72">
        <v>0</v>
      </c>
      <c r="E221" s="72">
        <v>0</v>
      </c>
      <c r="F221" s="72">
        <v>0</v>
      </c>
      <c r="G221" s="140" t="s">
        <v>574</v>
      </c>
      <c r="H221" s="345"/>
      <c r="I221" s="336"/>
      <c r="J221" s="141"/>
      <c r="K221" s="294"/>
      <c r="L221" s="273"/>
      <c r="M221" s="273"/>
      <c r="N221" s="273"/>
      <c r="O221" s="273"/>
      <c r="P221" s="273"/>
      <c r="Q221" s="336"/>
      <c r="R221" s="292"/>
      <c r="T221" s="273"/>
    </row>
    <row r="222" spans="1:20" ht="15">
      <c r="A222" s="79">
        <v>700</v>
      </c>
      <c r="B222" s="77">
        <v>100</v>
      </c>
      <c r="C222" s="77"/>
      <c r="D222" s="77"/>
      <c r="E222" s="77"/>
      <c r="F222" s="77"/>
      <c r="G222" s="65" t="s">
        <v>575</v>
      </c>
      <c r="H222" s="335">
        <v>0</v>
      </c>
      <c r="I222" s="333">
        <v>0</v>
      </c>
      <c r="J222" s="51" t="s">
        <v>88</v>
      </c>
      <c r="K222" s="64"/>
      <c r="L222" s="278">
        <f t="shared" si="54"/>
        <v>0</v>
      </c>
      <c r="M222" s="291" t="e">
        <f t="shared" si="55"/>
        <v>#DIV/0!</v>
      </c>
      <c r="N222" s="278">
        <v>0</v>
      </c>
      <c r="O222" s="278">
        <f t="shared" si="56"/>
        <v>0</v>
      </c>
      <c r="P222" s="291" t="e">
        <f t="shared" si="57"/>
        <v>#DIV/0!</v>
      </c>
      <c r="Q222" s="335">
        <v>0</v>
      </c>
      <c r="R222" s="333">
        <f aca="true" t="shared" si="58" ref="R222:R227">H222-Q222</f>
        <v>0</v>
      </c>
      <c r="T222" s="279">
        <v>0</v>
      </c>
    </row>
    <row r="223" spans="1:20" ht="15">
      <c r="A223" s="79">
        <v>700</v>
      </c>
      <c r="B223" s="77">
        <v>200</v>
      </c>
      <c r="C223" s="77"/>
      <c r="D223" s="77"/>
      <c r="E223" s="77"/>
      <c r="F223" s="77"/>
      <c r="G223" s="65" t="s">
        <v>576</v>
      </c>
      <c r="H223" s="335">
        <v>0</v>
      </c>
      <c r="I223" s="333">
        <v>0</v>
      </c>
      <c r="J223" s="51" t="s">
        <v>89</v>
      </c>
      <c r="K223" s="64"/>
      <c r="L223" s="278">
        <f t="shared" si="54"/>
        <v>0</v>
      </c>
      <c r="M223" s="291" t="e">
        <f t="shared" si="55"/>
        <v>#DIV/0!</v>
      </c>
      <c r="N223" s="278">
        <v>0</v>
      </c>
      <c r="O223" s="278">
        <f t="shared" si="56"/>
        <v>0</v>
      </c>
      <c r="P223" s="291" t="e">
        <f t="shared" si="57"/>
        <v>#DIV/0!</v>
      </c>
      <c r="Q223" s="335">
        <v>0</v>
      </c>
      <c r="R223" s="333">
        <f t="shared" si="58"/>
        <v>0</v>
      </c>
      <c r="T223" s="279">
        <v>0</v>
      </c>
    </row>
    <row r="224" spans="1:20" ht="15">
      <c r="A224" s="79">
        <v>700</v>
      </c>
      <c r="B224" s="77">
        <v>300</v>
      </c>
      <c r="C224" s="77"/>
      <c r="D224" s="77"/>
      <c r="E224" s="77"/>
      <c r="F224" s="77"/>
      <c r="G224" s="65" t="s">
        <v>577</v>
      </c>
      <c r="H224" s="335">
        <v>0</v>
      </c>
      <c r="I224" s="333">
        <v>0</v>
      </c>
      <c r="J224" s="51" t="s">
        <v>90</v>
      </c>
      <c r="K224" s="64"/>
      <c r="L224" s="278">
        <f t="shared" si="54"/>
        <v>0</v>
      </c>
      <c r="M224" s="291" t="e">
        <f t="shared" si="55"/>
        <v>#DIV/0!</v>
      </c>
      <c r="N224" s="278">
        <v>0</v>
      </c>
      <c r="O224" s="278">
        <f t="shared" si="56"/>
        <v>0</v>
      </c>
      <c r="P224" s="291" t="e">
        <f t="shared" si="57"/>
        <v>#DIV/0!</v>
      </c>
      <c r="Q224" s="335">
        <v>0</v>
      </c>
      <c r="R224" s="333">
        <f t="shared" si="58"/>
        <v>0</v>
      </c>
      <c r="T224" s="279">
        <v>0</v>
      </c>
    </row>
    <row r="225" spans="1:20" ht="15">
      <c r="A225" s="79">
        <v>700</v>
      </c>
      <c r="B225" s="77">
        <v>400</v>
      </c>
      <c r="C225" s="77"/>
      <c r="D225" s="77"/>
      <c r="E225" s="77"/>
      <c r="F225" s="77"/>
      <c r="G225" s="65" t="s">
        <v>578</v>
      </c>
      <c r="H225" s="335">
        <v>0</v>
      </c>
      <c r="I225" s="333">
        <v>0</v>
      </c>
      <c r="J225" s="51" t="s">
        <v>91</v>
      </c>
      <c r="K225" s="64"/>
      <c r="L225" s="278">
        <f t="shared" si="54"/>
        <v>0</v>
      </c>
      <c r="M225" s="291" t="e">
        <f t="shared" si="55"/>
        <v>#DIV/0!</v>
      </c>
      <c r="N225" s="278">
        <v>0</v>
      </c>
      <c r="O225" s="278">
        <f t="shared" si="56"/>
        <v>0</v>
      </c>
      <c r="P225" s="291" t="e">
        <f t="shared" si="57"/>
        <v>#DIV/0!</v>
      </c>
      <c r="Q225" s="335">
        <v>0</v>
      </c>
      <c r="R225" s="333">
        <f t="shared" si="58"/>
        <v>0</v>
      </c>
      <c r="T225" s="279">
        <v>0</v>
      </c>
    </row>
    <row r="226" spans="1:231" s="84" customFormat="1" ht="15">
      <c r="A226" s="79">
        <v>700</v>
      </c>
      <c r="B226" s="77">
        <v>500</v>
      </c>
      <c r="C226" s="77"/>
      <c r="D226" s="77"/>
      <c r="E226" s="77"/>
      <c r="F226" s="77"/>
      <c r="G226" s="65" t="s">
        <v>579</v>
      </c>
      <c r="H226" s="335">
        <v>59</v>
      </c>
      <c r="I226" s="333">
        <v>1</v>
      </c>
      <c r="J226" s="51" t="s">
        <v>92</v>
      </c>
      <c r="K226" s="64"/>
      <c r="L226" s="278">
        <f>H226-I226</f>
        <v>58</v>
      </c>
      <c r="M226" s="291">
        <f>L226/I226</f>
        <v>58</v>
      </c>
      <c r="N226" s="278">
        <v>0</v>
      </c>
      <c r="O226" s="278">
        <f t="shared" si="56"/>
        <v>59</v>
      </c>
      <c r="P226" s="291" t="e">
        <f>O226/N226</f>
        <v>#DIV/0!</v>
      </c>
      <c r="Q226" s="335">
        <v>59</v>
      </c>
      <c r="R226" s="333">
        <f t="shared" si="58"/>
        <v>0</v>
      </c>
      <c r="S226" s="52"/>
      <c r="T226" s="279">
        <v>1</v>
      </c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  <c r="HH226" s="52"/>
      <c r="HI226" s="52"/>
      <c r="HJ226" s="52"/>
      <c r="HK226" s="52"/>
      <c r="HL226" s="52"/>
      <c r="HM226" s="52"/>
      <c r="HN226" s="52"/>
      <c r="HO226" s="52"/>
      <c r="HP226" s="52"/>
      <c r="HQ226" s="52"/>
      <c r="HR226" s="52"/>
      <c r="HS226" s="52"/>
      <c r="HT226" s="52"/>
      <c r="HU226" s="52"/>
      <c r="HV226" s="52"/>
      <c r="HW226" s="52"/>
    </row>
    <row r="227" spans="1:231" s="84" customFormat="1" ht="15">
      <c r="A227" s="71">
        <v>710</v>
      </c>
      <c r="B227" s="72">
        <v>0</v>
      </c>
      <c r="C227" s="72">
        <v>0</v>
      </c>
      <c r="D227" s="72">
        <v>0</v>
      </c>
      <c r="E227" s="72">
        <v>0</v>
      </c>
      <c r="F227" s="72">
        <v>0</v>
      </c>
      <c r="G227" s="140" t="s">
        <v>636</v>
      </c>
      <c r="H227" s="338">
        <v>0</v>
      </c>
      <c r="I227" s="333">
        <v>0</v>
      </c>
      <c r="J227" s="141" t="s">
        <v>93</v>
      </c>
      <c r="K227" s="294"/>
      <c r="L227" s="278">
        <f>H227-I227</f>
        <v>0</v>
      </c>
      <c r="M227" s="291" t="e">
        <f>L227/I227</f>
        <v>#DIV/0!</v>
      </c>
      <c r="N227" s="282">
        <v>0</v>
      </c>
      <c r="O227" s="278">
        <f aca="true" t="shared" si="59" ref="O227:O252">H227-N227</f>
        <v>0</v>
      </c>
      <c r="P227" s="291" t="e">
        <f>O227/N227</f>
        <v>#DIV/0!</v>
      </c>
      <c r="Q227" s="338">
        <v>0</v>
      </c>
      <c r="R227" s="333">
        <f t="shared" si="58"/>
        <v>0</v>
      </c>
      <c r="S227" s="52"/>
      <c r="T227" s="279">
        <v>0</v>
      </c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  <c r="HH227" s="52"/>
      <c r="HI227" s="52"/>
      <c r="HJ227" s="52"/>
      <c r="HK227" s="52"/>
      <c r="HL227" s="52"/>
      <c r="HM227" s="52"/>
      <c r="HN227" s="52"/>
      <c r="HO227" s="52"/>
      <c r="HP227" s="52"/>
      <c r="HQ227" s="52"/>
      <c r="HR227" s="52"/>
      <c r="HS227" s="52"/>
      <c r="HT227" s="52"/>
      <c r="HU227" s="52"/>
      <c r="HV227" s="52"/>
      <c r="HW227" s="52"/>
    </row>
    <row r="228" spans="1:231" s="84" customFormat="1" ht="15">
      <c r="A228" s="71">
        <v>720</v>
      </c>
      <c r="B228" s="72">
        <v>0</v>
      </c>
      <c r="C228" s="72">
        <v>0</v>
      </c>
      <c r="D228" s="72">
        <v>0</v>
      </c>
      <c r="E228" s="72">
        <v>0</v>
      </c>
      <c r="F228" s="72">
        <v>0</v>
      </c>
      <c r="G228" s="140" t="s">
        <v>253</v>
      </c>
      <c r="H228" s="336"/>
      <c r="I228" s="336"/>
      <c r="J228" s="141"/>
      <c r="K228" s="294"/>
      <c r="L228" s="273"/>
      <c r="M228" s="273"/>
      <c r="N228" s="273"/>
      <c r="O228" s="273"/>
      <c r="P228" s="273"/>
      <c r="Q228" s="336"/>
      <c r="R228" s="292"/>
      <c r="S228" s="52"/>
      <c r="T228" s="273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  <c r="HH228" s="52"/>
      <c r="HI228" s="52"/>
      <c r="HJ228" s="52"/>
      <c r="HK228" s="52"/>
      <c r="HL228" s="52"/>
      <c r="HM228" s="52"/>
      <c r="HN228" s="52"/>
      <c r="HO228" s="52"/>
      <c r="HP228" s="52"/>
      <c r="HQ228" s="52"/>
      <c r="HR228" s="52"/>
      <c r="HS228" s="52"/>
      <c r="HT228" s="52"/>
      <c r="HU228" s="52"/>
      <c r="HV228" s="52"/>
      <c r="HW228" s="52"/>
    </row>
    <row r="229" spans="1:231" s="84" customFormat="1" ht="15">
      <c r="A229" s="79">
        <v>720</v>
      </c>
      <c r="B229" s="77">
        <v>100</v>
      </c>
      <c r="C229" s="77"/>
      <c r="D229" s="77"/>
      <c r="E229" s="77"/>
      <c r="F229" s="77"/>
      <c r="G229" s="65" t="s">
        <v>580</v>
      </c>
      <c r="H229" s="335">
        <v>3000</v>
      </c>
      <c r="I229" s="333">
        <v>0</v>
      </c>
      <c r="J229" s="51" t="s">
        <v>94</v>
      </c>
      <c r="K229" s="64"/>
      <c r="L229" s="278">
        <f>H229-I229</f>
        <v>3000</v>
      </c>
      <c r="M229" s="291" t="e">
        <f>L229/I229</f>
        <v>#DIV/0!</v>
      </c>
      <c r="N229" s="278">
        <v>0</v>
      </c>
      <c r="O229" s="278">
        <f t="shared" si="59"/>
        <v>3000</v>
      </c>
      <c r="P229" s="291" t="e">
        <f>O229/N229</f>
        <v>#DIV/0!</v>
      </c>
      <c r="Q229" s="335">
        <v>3000</v>
      </c>
      <c r="R229" s="298"/>
      <c r="S229" s="52"/>
      <c r="T229" s="279">
        <v>0</v>
      </c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52"/>
      <c r="GO229" s="52"/>
      <c r="GP229" s="52"/>
      <c r="GQ229" s="52"/>
      <c r="GR229" s="52"/>
      <c r="GS229" s="52"/>
      <c r="GT229" s="52"/>
      <c r="GU229" s="52"/>
      <c r="GV229" s="52"/>
      <c r="GW229" s="52"/>
      <c r="GX229" s="52"/>
      <c r="GY229" s="52"/>
      <c r="GZ229" s="52"/>
      <c r="HA229" s="52"/>
      <c r="HB229" s="52"/>
      <c r="HC229" s="52"/>
      <c r="HD229" s="52"/>
      <c r="HE229" s="52"/>
      <c r="HF229" s="52"/>
      <c r="HG229" s="52"/>
      <c r="HH229" s="52"/>
      <c r="HI229" s="52"/>
      <c r="HJ229" s="52"/>
      <c r="HK229" s="52"/>
      <c r="HL229" s="52"/>
      <c r="HM229" s="52"/>
      <c r="HN229" s="52"/>
      <c r="HO229" s="52"/>
      <c r="HP229" s="52"/>
      <c r="HQ229" s="52"/>
      <c r="HR229" s="52"/>
      <c r="HS229" s="52"/>
      <c r="HT229" s="52"/>
      <c r="HU229" s="52"/>
      <c r="HV229" s="52"/>
      <c r="HW229" s="52"/>
    </row>
    <row r="230" spans="1:231" s="84" customFormat="1" ht="15">
      <c r="A230" s="79">
        <v>720</v>
      </c>
      <c r="B230" s="76">
        <v>200</v>
      </c>
      <c r="C230" s="76"/>
      <c r="D230" s="76"/>
      <c r="E230" s="76"/>
      <c r="F230" s="76"/>
      <c r="G230" s="66" t="s">
        <v>581</v>
      </c>
      <c r="H230" s="334"/>
      <c r="I230" s="337"/>
      <c r="J230" s="51"/>
      <c r="K230" s="64"/>
      <c r="L230" s="272"/>
      <c r="M230" s="272"/>
      <c r="N230" s="272"/>
      <c r="O230" s="272"/>
      <c r="P230" s="272"/>
      <c r="Q230" s="337"/>
      <c r="R230" s="292"/>
      <c r="S230" s="52"/>
      <c r="T230" s="149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2"/>
      <c r="HM230" s="52"/>
      <c r="HN230" s="52"/>
      <c r="HO230" s="52"/>
      <c r="HP230" s="52"/>
      <c r="HQ230" s="52"/>
      <c r="HR230" s="52"/>
      <c r="HS230" s="52"/>
      <c r="HT230" s="52"/>
      <c r="HU230" s="52"/>
      <c r="HV230" s="52"/>
      <c r="HW230" s="52"/>
    </row>
    <row r="231" spans="1:231" s="84" customFormat="1" ht="15">
      <c r="A231" s="79">
        <v>720</v>
      </c>
      <c r="B231" s="76">
        <v>200</v>
      </c>
      <c r="C231" s="76">
        <v>100</v>
      </c>
      <c r="D231" s="76"/>
      <c r="E231" s="76"/>
      <c r="F231" s="76"/>
      <c r="G231" s="66" t="s">
        <v>582</v>
      </c>
      <c r="H231" s="335">
        <v>723302</v>
      </c>
      <c r="I231" s="333">
        <v>0</v>
      </c>
      <c r="J231" s="51" t="s">
        <v>95</v>
      </c>
      <c r="K231" s="64"/>
      <c r="L231" s="278">
        <f>H231-I231</f>
        <v>723302</v>
      </c>
      <c r="M231" s="291" t="e">
        <f>L231/I231</f>
        <v>#DIV/0!</v>
      </c>
      <c r="N231" s="278">
        <v>0</v>
      </c>
      <c r="O231" s="278">
        <f t="shared" si="59"/>
        <v>723302</v>
      </c>
      <c r="P231" s="291" t="e">
        <f>O231/N231</f>
        <v>#DIV/0!</v>
      </c>
      <c r="Q231" s="335">
        <v>123502</v>
      </c>
      <c r="R231" s="335">
        <f>H231-Q231</f>
        <v>599800</v>
      </c>
      <c r="S231" s="52"/>
      <c r="T231" s="279">
        <v>0</v>
      </c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  <c r="HM231" s="52"/>
      <c r="HN231" s="52"/>
      <c r="HO231" s="52"/>
      <c r="HP231" s="52"/>
      <c r="HQ231" s="52"/>
      <c r="HR231" s="52"/>
      <c r="HS231" s="52"/>
      <c r="HT231" s="52"/>
      <c r="HU231" s="52"/>
      <c r="HV231" s="52"/>
      <c r="HW231" s="52"/>
    </row>
    <row r="232" spans="1:231" s="84" customFormat="1" ht="15">
      <c r="A232" s="79">
        <v>720</v>
      </c>
      <c r="B232" s="76">
        <v>200</v>
      </c>
      <c r="C232" s="76">
        <v>200</v>
      </c>
      <c r="D232" s="76"/>
      <c r="E232" s="76"/>
      <c r="F232" s="76"/>
      <c r="G232" s="66" t="s">
        <v>583</v>
      </c>
      <c r="H232" s="334"/>
      <c r="I232" s="337"/>
      <c r="J232" s="51"/>
      <c r="K232" s="64"/>
      <c r="L232" s="272"/>
      <c r="M232" s="149"/>
      <c r="N232" s="272"/>
      <c r="O232" s="272"/>
      <c r="P232" s="272"/>
      <c r="Q232" s="337"/>
      <c r="R232" s="337"/>
      <c r="S232" s="52"/>
      <c r="T232" s="149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</row>
    <row r="233" spans="1:231" s="84" customFormat="1" ht="25.5">
      <c r="A233" s="79">
        <v>720</v>
      </c>
      <c r="B233" s="76">
        <v>200</v>
      </c>
      <c r="C233" s="76">
        <v>200</v>
      </c>
      <c r="D233" s="77">
        <v>100</v>
      </c>
      <c r="E233" s="77"/>
      <c r="F233" s="77"/>
      <c r="G233" s="65" t="s">
        <v>584</v>
      </c>
      <c r="H233" s="335">
        <v>10661</v>
      </c>
      <c r="I233" s="333">
        <v>6289</v>
      </c>
      <c r="J233" s="51" t="s">
        <v>96</v>
      </c>
      <c r="K233" s="64"/>
      <c r="L233" s="278">
        <f>H233-I233</f>
        <v>4372</v>
      </c>
      <c r="M233" s="291">
        <f aca="true" t="shared" si="60" ref="M233:M251">L233/I233</f>
        <v>0.6952</v>
      </c>
      <c r="N233" s="278">
        <v>0</v>
      </c>
      <c r="O233" s="278">
        <f t="shared" si="59"/>
        <v>10661</v>
      </c>
      <c r="P233" s="291" t="e">
        <f aca="true" t="shared" si="61" ref="P233:P252">O233/N233</f>
        <v>#DIV/0!</v>
      </c>
      <c r="Q233" s="335">
        <v>0</v>
      </c>
      <c r="R233" s="335">
        <f>H233-Q233</f>
        <v>10661</v>
      </c>
      <c r="S233" s="52"/>
      <c r="T233" s="279">
        <v>6289</v>
      </c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2"/>
      <c r="HQ233" s="52"/>
      <c r="HR233" s="52"/>
      <c r="HS233" s="52"/>
      <c r="HT233" s="52"/>
      <c r="HU233" s="52"/>
      <c r="HV233" s="52"/>
      <c r="HW233" s="52"/>
    </row>
    <row r="234" spans="1:231" s="84" customFormat="1" ht="15">
      <c r="A234" s="79">
        <v>720</v>
      </c>
      <c r="B234" s="76">
        <v>200</v>
      </c>
      <c r="C234" s="76">
        <v>200</v>
      </c>
      <c r="D234" s="76">
        <v>200</v>
      </c>
      <c r="E234" s="76"/>
      <c r="F234" s="76"/>
      <c r="G234" s="66" t="s">
        <v>585</v>
      </c>
      <c r="H234" s="334"/>
      <c r="I234" s="337"/>
      <c r="J234" s="51"/>
      <c r="K234" s="64"/>
      <c r="L234" s="337"/>
      <c r="M234" s="337"/>
      <c r="N234" s="337"/>
      <c r="O234" s="337"/>
      <c r="P234" s="337"/>
      <c r="Q234" s="337"/>
      <c r="R234" s="337"/>
      <c r="S234" s="52"/>
      <c r="T234" s="149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  <c r="HM234" s="52"/>
      <c r="HN234" s="52"/>
      <c r="HO234" s="52"/>
      <c r="HP234" s="52"/>
      <c r="HQ234" s="52"/>
      <c r="HR234" s="52"/>
      <c r="HS234" s="52"/>
      <c r="HT234" s="52"/>
      <c r="HU234" s="52"/>
      <c r="HV234" s="52"/>
      <c r="HW234" s="52"/>
    </row>
    <row r="235" spans="1:231" s="84" customFormat="1" ht="15">
      <c r="A235" s="79">
        <v>720</v>
      </c>
      <c r="B235" s="76">
        <v>200</v>
      </c>
      <c r="C235" s="76">
        <v>200</v>
      </c>
      <c r="D235" s="76">
        <v>200</v>
      </c>
      <c r="E235" s="77">
        <v>10</v>
      </c>
      <c r="F235" s="81"/>
      <c r="G235" s="65" t="s">
        <v>586</v>
      </c>
      <c r="H235" s="335">
        <v>0</v>
      </c>
      <c r="I235" s="333">
        <v>0</v>
      </c>
      <c r="J235" s="51" t="s">
        <v>97</v>
      </c>
      <c r="K235" s="64"/>
      <c r="L235" s="278">
        <f>H235-I235</f>
        <v>0</v>
      </c>
      <c r="M235" s="291" t="e">
        <f t="shared" si="60"/>
        <v>#DIV/0!</v>
      </c>
      <c r="N235" s="278">
        <v>0</v>
      </c>
      <c r="O235" s="278">
        <f t="shared" si="59"/>
        <v>0</v>
      </c>
      <c r="P235" s="291" t="e">
        <f t="shared" si="61"/>
        <v>#DIV/0!</v>
      </c>
      <c r="Q235" s="335">
        <v>0</v>
      </c>
      <c r="R235" s="335">
        <f aca="true" t="shared" si="62" ref="R235:R252">Q235-H235</f>
        <v>0</v>
      </c>
      <c r="S235" s="52"/>
      <c r="T235" s="279">
        <v>0</v>
      </c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52"/>
      <c r="GO235" s="52"/>
      <c r="GP235" s="52"/>
      <c r="GQ235" s="52"/>
      <c r="GR235" s="52"/>
      <c r="GS235" s="52"/>
      <c r="GT235" s="52"/>
      <c r="GU235" s="52"/>
      <c r="GV235" s="52"/>
      <c r="GW235" s="52"/>
      <c r="GX235" s="52"/>
      <c r="GY235" s="52"/>
      <c r="GZ235" s="52"/>
      <c r="HA235" s="52"/>
      <c r="HB235" s="52"/>
      <c r="HC235" s="52"/>
      <c r="HD235" s="52"/>
      <c r="HE235" s="52"/>
      <c r="HF235" s="52"/>
      <c r="HG235" s="52"/>
      <c r="HH235" s="52"/>
      <c r="HI235" s="52"/>
      <c r="HJ235" s="52"/>
      <c r="HK235" s="52"/>
      <c r="HL235" s="52"/>
      <c r="HM235" s="52"/>
      <c r="HN235" s="52"/>
      <c r="HO235" s="52"/>
      <c r="HP235" s="52"/>
      <c r="HQ235" s="52"/>
      <c r="HR235" s="52"/>
      <c r="HS235" s="52"/>
      <c r="HT235" s="52"/>
      <c r="HU235" s="52"/>
      <c r="HV235" s="52"/>
      <c r="HW235" s="52"/>
    </row>
    <row r="236" spans="1:231" s="84" customFormat="1" ht="15">
      <c r="A236" s="79">
        <v>720</v>
      </c>
      <c r="B236" s="76">
        <v>200</v>
      </c>
      <c r="C236" s="76">
        <v>200</v>
      </c>
      <c r="D236" s="76">
        <v>200</v>
      </c>
      <c r="E236" s="77">
        <v>20</v>
      </c>
      <c r="F236" s="81"/>
      <c r="G236" s="65" t="s">
        <v>587</v>
      </c>
      <c r="H236" s="335">
        <v>2478</v>
      </c>
      <c r="I236" s="333">
        <v>0</v>
      </c>
      <c r="J236" s="51" t="s">
        <v>98</v>
      </c>
      <c r="K236" s="64"/>
      <c r="L236" s="278">
        <f>H236-I236</f>
        <v>2478</v>
      </c>
      <c r="M236" s="291" t="e">
        <f t="shared" si="60"/>
        <v>#DIV/0!</v>
      </c>
      <c r="N236" s="278">
        <v>0</v>
      </c>
      <c r="O236" s="278">
        <f t="shared" si="59"/>
        <v>2478</v>
      </c>
      <c r="P236" s="291" t="e">
        <f t="shared" si="61"/>
        <v>#DIV/0!</v>
      </c>
      <c r="Q236" s="335">
        <v>2478</v>
      </c>
      <c r="R236" s="335">
        <f t="shared" si="62"/>
        <v>0</v>
      </c>
      <c r="S236" s="52"/>
      <c r="T236" s="279">
        <v>0</v>
      </c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  <c r="HH236" s="52"/>
      <c r="HI236" s="52"/>
      <c r="HJ236" s="52"/>
      <c r="HK236" s="52"/>
      <c r="HL236" s="52"/>
      <c r="HM236" s="52"/>
      <c r="HN236" s="52"/>
      <c r="HO236" s="52"/>
      <c r="HP236" s="52"/>
      <c r="HQ236" s="52"/>
      <c r="HR236" s="52"/>
      <c r="HS236" s="52"/>
      <c r="HT236" s="52"/>
      <c r="HU236" s="52"/>
      <c r="HV236" s="52"/>
      <c r="HW236" s="52"/>
    </row>
    <row r="237" spans="1:231" s="84" customFormat="1" ht="25.5">
      <c r="A237" s="79">
        <v>720</v>
      </c>
      <c r="B237" s="76">
        <v>200</v>
      </c>
      <c r="C237" s="76">
        <v>200</v>
      </c>
      <c r="D237" s="76">
        <v>200</v>
      </c>
      <c r="E237" s="77">
        <v>30</v>
      </c>
      <c r="F237" s="81"/>
      <c r="G237" s="65" t="s">
        <v>588</v>
      </c>
      <c r="H237" s="335">
        <v>0</v>
      </c>
      <c r="I237" s="333">
        <v>0</v>
      </c>
      <c r="J237" s="51" t="s">
        <v>99</v>
      </c>
      <c r="K237" s="64"/>
      <c r="L237" s="272"/>
      <c r="M237" s="272"/>
      <c r="N237" s="337"/>
      <c r="O237" s="337"/>
      <c r="P237" s="337"/>
      <c r="Q237" s="337"/>
      <c r="R237" s="337"/>
      <c r="S237" s="52"/>
      <c r="T237" s="279">
        <v>0</v>
      </c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52"/>
      <c r="GO237" s="52"/>
      <c r="GP237" s="52"/>
      <c r="GQ237" s="52"/>
      <c r="GR237" s="52"/>
      <c r="GS237" s="52"/>
      <c r="GT237" s="52"/>
      <c r="GU237" s="52"/>
      <c r="GV237" s="52"/>
      <c r="GW237" s="52"/>
      <c r="GX237" s="52"/>
      <c r="GY237" s="52"/>
      <c r="GZ237" s="52"/>
      <c r="HA237" s="52"/>
      <c r="HB237" s="52"/>
      <c r="HC237" s="52"/>
      <c r="HD237" s="52"/>
      <c r="HE237" s="52"/>
      <c r="HF237" s="52"/>
      <c r="HG237" s="52"/>
      <c r="HH237" s="52"/>
      <c r="HI237" s="52"/>
      <c r="HJ237" s="52"/>
      <c r="HK237" s="52"/>
      <c r="HL237" s="52"/>
      <c r="HM237" s="52"/>
      <c r="HN237" s="52"/>
      <c r="HO237" s="52"/>
      <c r="HP237" s="52"/>
      <c r="HQ237" s="52"/>
      <c r="HR237" s="52"/>
      <c r="HS237" s="52"/>
      <c r="HT237" s="52"/>
      <c r="HU237" s="52"/>
      <c r="HV237" s="52"/>
      <c r="HW237" s="52"/>
    </row>
    <row r="238" spans="1:231" s="84" customFormat="1" ht="25.5">
      <c r="A238" s="79">
        <v>720</v>
      </c>
      <c r="B238" s="76">
        <v>200</v>
      </c>
      <c r="C238" s="76">
        <v>200</v>
      </c>
      <c r="D238" s="76">
        <v>200</v>
      </c>
      <c r="E238" s="77">
        <v>40</v>
      </c>
      <c r="F238" s="81"/>
      <c r="G238" s="65" t="s">
        <v>589</v>
      </c>
      <c r="H238" s="335">
        <v>0</v>
      </c>
      <c r="I238" s="333">
        <v>0</v>
      </c>
      <c r="J238" s="51" t="s">
        <v>100</v>
      </c>
      <c r="K238" s="64"/>
      <c r="L238" s="278">
        <f>H238-I238</f>
        <v>0</v>
      </c>
      <c r="M238" s="291" t="e">
        <f t="shared" si="60"/>
        <v>#DIV/0!</v>
      </c>
      <c r="N238" s="278">
        <v>0</v>
      </c>
      <c r="O238" s="278">
        <f t="shared" si="59"/>
        <v>0</v>
      </c>
      <c r="P238" s="291" t="e">
        <f t="shared" si="61"/>
        <v>#DIV/0!</v>
      </c>
      <c r="Q238" s="335">
        <v>0</v>
      </c>
      <c r="R238" s="335">
        <f t="shared" si="62"/>
        <v>0</v>
      </c>
      <c r="S238" s="52"/>
      <c r="T238" s="279">
        <v>0</v>
      </c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  <c r="HH238" s="52"/>
      <c r="HI238" s="52"/>
      <c r="HJ238" s="52"/>
      <c r="HK238" s="52"/>
      <c r="HL238" s="52"/>
      <c r="HM238" s="52"/>
      <c r="HN238" s="52"/>
      <c r="HO238" s="52"/>
      <c r="HP238" s="52"/>
      <c r="HQ238" s="52"/>
      <c r="HR238" s="52"/>
      <c r="HS238" s="52"/>
      <c r="HT238" s="52"/>
      <c r="HU238" s="52"/>
      <c r="HV238" s="52"/>
      <c r="HW238" s="52"/>
    </row>
    <row r="239" spans="1:231" s="84" customFormat="1" ht="25.5">
      <c r="A239" s="79">
        <v>720</v>
      </c>
      <c r="B239" s="76">
        <v>200</v>
      </c>
      <c r="C239" s="76">
        <v>200</v>
      </c>
      <c r="D239" s="76">
        <v>200</v>
      </c>
      <c r="E239" s="77">
        <v>50</v>
      </c>
      <c r="F239" s="81"/>
      <c r="G239" s="65" t="s">
        <v>590</v>
      </c>
      <c r="H239" s="335">
        <v>0</v>
      </c>
      <c r="I239" s="333">
        <v>0</v>
      </c>
      <c r="J239" s="51" t="s">
        <v>101</v>
      </c>
      <c r="K239" s="64"/>
      <c r="L239" s="278">
        <f>H239-I239</f>
        <v>0</v>
      </c>
      <c r="M239" s="291" t="e">
        <f t="shared" si="60"/>
        <v>#DIV/0!</v>
      </c>
      <c r="N239" s="278">
        <v>0</v>
      </c>
      <c r="O239" s="278">
        <f t="shared" si="59"/>
        <v>0</v>
      </c>
      <c r="P239" s="291" t="e">
        <f t="shared" si="61"/>
        <v>#DIV/0!</v>
      </c>
      <c r="Q239" s="335">
        <v>0</v>
      </c>
      <c r="R239" s="335">
        <f t="shared" si="62"/>
        <v>0</v>
      </c>
      <c r="S239" s="52"/>
      <c r="T239" s="279">
        <v>0</v>
      </c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  <c r="HH239" s="52"/>
      <c r="HI239" s="52"/>
      <c r="HJ239" s="52"/>
      <c r="HK239" s="52"/>
      <c r="HL239" s="52"/>
      <c r="HM239" s="52"/>
      <c r="HN239" s="52"/>
      <c r="HO239" s="52"/>
      <c r="HP239" s="52"/>
      <c r="HQ239" s="52"/>
      <c r="HR239" s="52"/>
      <c r="HS239" s="52"/>
      <c r="HT239" s="52"/>
      <c r="HU239" s="52"/>
      <c r="HV239" s="52"/>
      <c r="HW239" s="52"/>
    </row>
    <row r="240" spans="1:231" s="84" customFormat="1" ht="15">
      <c r="A240" s="79">
        <v>720</v>
      </c>
      <c r="B240" s="76">
        <v>200</v>
      </c>
      <c r="C240" s="76">
        <v>200</v>
      </c>
      <c r="D240" s="76">
        <v>200</v>
      </c>
      <c r="E240" s="77">
        <v>60</v>
      </c>
      <c r="F240" s="81"/>
      <c r="G240" s="65" t="s">
        <v>591</v>
      </c>
      <c r="H240" s="335">
        <v>506965</v>
      </c>
      <c r="I240" s="333">
        <v>265011</v>
      </c>
      <c r="J240" s="51" t="s">
        <v>102</v>
      </c>
      <c r="K240" s="64"/>
      <c r="L240" s="278">
        <f>H240-I240</f>
        <v>241954</v>
      </c>
      <c r="M240" s="291">
        <f t="shared" si="60"/>
        <v>0.913</v>
      </c>
      <c r="N240" s="278">
        <v>0</v>
      </c>
      <c r="O240" s="278">
        <f t="shared" si="59"/>
        <v>506965</v>
      </c>
      <c r="P240" s="291" t="e">
        <f t="shared" si="61"/>
        <v>#DIV/0!</v>
      </c>
      <c r="Q240" s="335">
        <v>217335</v>
      </c>
      <c r="R240" s="335">
        <f>H240-Q240</f>
        <v>289630</v>
      </c>
      <c r="S240" s="52"/>
      <c r="T240" s="279">
        <v>265011</v>
      </c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  <c r="HM240" s="52"/>
      <c r="HN240" s="52"/>
      <c r="HO240" s="52"/>
      <c r="HP240" s="52"/>
      <c r="HQ240" s="52"/>
      <c r="HR240" s="52"/>
      <c r="HS240" s="52"/>
      <c r="HT240" s="52"/>
      <c r="HU240" s="52"/>
      <c r="HV240" s="52"/>
      <c r="HW240" s="52"/>
    </row>
    <row r="241" spans="1:231" s="84" customFormat="1" ht="15">
      <c r="A241" s="79">
        <v>720</v>
      </c>
      <c r="B241" s="76">
        <v>200</v>
      </c>
      <c r="C241" s="76">
        <v>200</v>
      </c>
      <c r="D241" s="76">
        <v>200</v>
      </c>
      <c r="E241" s="77">
        <v>90</v>
      </c>
      <c r="F241" s="81"/>
      <c r="G241" s="65" t="s">
        <v>592</v>
      </c>
      <c r="H241" s="335">
        <f>7604+2</f>
        <v>7606</v>
      </c>
      <c r="I241" s="333">
        <v>8949</v>
      </c>
      <c r="J241" s="51" t="s">
        <v>103</v>
      </c>
      <c r="K241" s="64"/>
      <c r="L241" s="278">
        <f>H241-I241</f>
        <v>-1343</v>
      </c>
      <c r="M241" s="291">
        <f t="shared" si="60"/>
        <v>-0.1501</v>
      </c>
      <c r="N241" s="278">
        <v>0</v>
      </c>
      <c r="O241" s="278">
        <f t="shared" si="59"/>
        <v>7606</v>
      </c>
      <c r="P241" s="291" t="e">
        <f t="shared" si="61"/>
        <v>#DIV/0!</v>
      </c>
      <c r="Q241" s="335">
        <v>7432</v>
      </c>
      <c r="R241" s="335">
        <f>H241-Q241</f>
        <v>174</v>
      </c>
      <c r="S241" s="52"/>
      <c r="T241" s="279">
        <v>8949</v>
      </c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  <c r="HM241" s="52"/>
      <c r="HN241" s="52"/>
      <c r="HO241" s="52"/>
      <c r="HP241" s="52"/>
      <c r="HQ241" s="52"/>
      <c r="HR241" s="52"/>
      <c r="HS241" s="52"/>
      <c r="HT241" s="52"/>
      <c r="HU241" s="52"/>
      <c r="HV241" s="52"/>
      <c r="HW241" s="52"/>
    </row>
    <row r="242" spans="1:231" s="84" customFormat="1" ht="15">
      <c r="A242" s="79">
        <v>720</v>
      </c>
      <c r="B242" s="76">
        <v>200</v>
      </c>
      <c r="C242" s="76">
        <v>300</v>
      </c>
      <c r="D242" s="76"/>
      <c r="E242" s="76"/>
      <c r="F242" s="85"/>
      <c r="G242" s="66" t="s">
        <v>593</v>
      </c>
      <c r="H242" s="337"/>
      <c r="I242" s="334"/>
      <c r="J242" s="51"/>
      <c r="K242" s="64"/>
      <c r="L242" s="272"/>
      <c r="M242" s="272"/>
      <c r="N242" s="272"/>
      <c r="O242" s="272"/>
      <c r="P242" s="272"/>
      <c r="Q242" s="334"/>
      <c r="R242" s="337"/>
      <c r="S242" s="52"/>
      <c r="T242" s="27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  <c r="HH242" s="52"/>
      <c r="HI242" s="52"/>
      <c r="HJ242" s="52"/>
      <c r="HK242" s="52"/>
      <c r="HL242" s="52"/>
      <c r="HM242" s="52"/>
      <c r="HN242" s="52"/>
      <c r="HO242" s="52"/>
      <c r="HP242" s="52"/>
      <c r="HQ242" s="52"/>
      <c r="HR242" s="52"/>
      <c r="HS242" s="52"/>
      <c r="HT242" s="52"/>
      <c r="HU242" s="52"/>
      <c r="HV242" s="52"/>
      <c r="HW242" s="52"/>
    </row>
    <row r="243" spans="1:231" s="84" customFormat="1" ht="15">
      <c r="A243" s="79">
        <v>720</v>
      </c>
      <c r="B243" s="76">
        <v>200</v>
      </c>
      <c r="C243" s="76">
        <v>300</v>
      </c>
      <c r="D243" s="77">
        <v>100</v>
      </c>
      <c r="E243" s="77"/>
      <c r="F243" s="77"/>
      <c r="G243" s="65" t="s">
        <v>594</v>
      </c>
      <c r="H243" s="335">
        <v>0</v>
      </c>
      <c r="I243" s="333">
        <v>0</v>
      </c>
      <c r="J243" s="51" t="s">
        <v>104</v>
      </c>
      <c r="K243" s="64"/>
      <c r="L243" s="278">
        <f aca="true" t="shared" si="63" ref="L243:L252">H243-I243</f>
        <v>0</v>
      </c>
      <c r="M243" s="291" t="e">
        <f t="shared" si="60"/>
        <v>#DIV/0!</v>
      </c>
      <c r="N243" s="278">
        <v>0</v>
      </c>
      <c r="O243" s="278">
        <f t="shared" si="59"/>
        <v>0</v>
      </c>
      <c r="P243" s="291" t="e">
        <f t="shared" si="61"/>
        <v>#DIV/0!</v>
      </c>
      <c r="Q243" s="335">
        <v>0</v>
      </c>
      <c r="R243" s="335">
        <f t="shared" si="62"/>
        <v>0</v>
      </c>
      <c r="S243" s="52"/>
      <c r="T243" s="279">
        <v>0</v>
      </c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  <c r="HD243" s="52"/>
      <c r="HE243" s="52"/>
      <c r="HF243" s="52"/>
      <c r="HG243" s="52"/>
      <c r="HH243" s="52"/>
      <c r="HI243" s="52"/>
      <c r="HJ243" s="52"/>
      <c r="HK243" s="52"/>
      <c r="HL243" s="52"/>
      <c r="HM243" s="52"/>
      <c r="HN243" s="52"/>
      <c r="HO243" s="52"/>
      <c r="HP243" s="52"/>
      <c r="HQ243" s="52"/>
      <c r="HR243" s="52"/>
      <c r="HS243" s="52"/>
      <c r="HT243" s="52"/>
      <c r="HU243" s="52"/>
      <c r="HV243" s="52"/>
      <c r="HW243" s="52"/>
    </row>
    <row r="244" spans="1:231" s="84" customFormat="1" ht="15">
      <c r="A244" s="79">
        <v>720</v>
      </c>
      <c r="B244" s="76">
        <v>200</v>
      </c>
      <c r="C244" s="76">
        <v>300</v>
      </c>
      <c r="D244" s="76">
        <v>200</v>
      </c>
      <c r="E244" s="76"/>
      <c r="F244" s="76"/>
      <c r="G244" s="66" t="s">
        <v>595</v>
      </c>
      <c r="H244" s="337"/>
      <c r="I244" s="334"/>
      <c r="J244" s="51"/>
      <c r="K244" s="64"/>
      <c r="L244" s="272"/>
      <c r="M244" s="272"/>
      <c r="N244" s="272"/>
      <c r="O244" s="272"/>
      <c r="P244" s="272"/>
      <c r="Q244" s="337"/>
      <c r="R244" s="337"/>
      <c r="S244" s="52"/>
      <c r="T244" s="27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  <c r="HH244" s="52"/>
      <c r="HI244" s="52"/>
      <c r="HJ244" s="52"/>
      <c r="HK244" s="52"/>
      <c r="HL244" s="52"/>
      <c r="HM244" s="52"/>
      <c r="HN244" s="52"/>
      <c r="HO244" s="52"/>
      <c r="HP244" s="52"/>
      <c r="HQ244" s="52"/>
      <c r="HR244" s="52"/>
      <c r="HS244" s="52"/>
      <c r="HT244" s="52"/>
      <c r="HU244" s="52"/>
      <c r="HV244" s="52"/>
      <c r="HW244" s="52"/>
    </row>
    <row r="245" spans="1:231" s="84" customFormat="1" ht="15">
      <c r="A245" s="79">
        <v>720</v>
      </c>
      <c r="B245" s="76">
        <v>200</v>
      </c>
      <c r="C245" s="76">
        <v>300</v>
      </c>
      <c r="D245" s="76">
        <v>200</v>
      </c>
      <c r="E245" s="77">
        <v>10</v>
      </c>
      <c r="F245" s="77"/>
      <c r="G245" s="65" t="s">
        <v>596</v>
      </c>
      <c r="H245" s="335">
        <v>0</v>
      </c>
      <c r="I245" s="333">
        <v>1237625</v>
      </c>
      <c r="J245" s="51" t="s">
        <v>105</v>
      </c>
      <c r="K245" s="64"/>
      <c r="L245" s="278">
        <f t="shared" si="63"/>
        <v>-1237625</v>
      </c>
      <c r="M245" s="291">
        <f t="shared" si="60"/>
        <v>-1</v>
      </c>
      <c r="N245" s="278">
        <v>0</v>
      </c>
      <c r="O245" s="278">
        <f t="shared" si="59"/>
        <v>0</v>
      </c>
      <c r="P245" s="291" t="e">
        <f t="shared" si="61"/>
        <v>#DIV/0!</v>
      </c>
      <c r="Q245" s="335">
        <v>0</v>
      </c>
      <c r="R245" s="335">
        <f t="shared" si="62"/>
        <v>0</v>
      </c>
      <c r="S245" s="52"/>
      <c r="T245" s="279">
        <v>1237625</v>
      </c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  <c r="HD245" s="52"/>
      <c r="HE245" s="52"/>
      <c r="HF245" s="52"/>
      <c r="HG245" s="52"/>
      <c r="HH245" s="52"/>
      <c r="HI245" s="52"/>
      <c r="HJ245" s="52"/>
      <c r="HK245" s="52"/>
      <c r="HL245" s="52"/>
      <c r="HM245" s="52"/>
      <c r="HN245" s="52"/>
      <c r="HO245" s="52"/>
      <c r="HP245" s="52"/>
      <c r="HQ245" s="52"/>
      <c r="HR245" s="52"/>
      <c r="HS245" s="52"/>
      <c r="HT245" s="52"/>
      <c r="HU245" s="52"/>
      <c r="HV245" s="52"/>
      <c r="HW245" s="52"/>
    </row>
    <row r="246" spans="1:231" s="84" customFormat="1" ht="15">
      <c r="A246" s="79">
        <v>720</v>
      </c>
      <c r="B246" s="76">
        <v>200</v>
      </c>
      <c r="C246" s="76">
        <v>300</v>
      </c>
      <c r="D246" s="76">
        <v>200</v>
      </c>
      <c r="E246" s="77">
        <v>20</v>
      </c>
      <c r="F246" s="77"/>
      <c r="G246" s="65" t="s">
        <v>597</v>
      </c>
      <c r="H246" s="335">
        <v>0</v>
      </c>
      <c r="I246" s="333">
        <v>0</v>
      </c>
      <c r="J246" s="51" t="s">
        <v>106</v>
      </c>
      <c r="K246" s="64"/>
      <c r="L246" s="278">
        <f t="shared" si="63"/>
        <v>0</v>
      </c>
      <c r="M246" s="291" t="e">
        <f t="shared" si="60"/>
        <v>#DIV/0!</v>
      </c>
      <c r="N246" s="278">
        <v>0</v>
      </c>
      <c r="O246" s="278">
        <f t="shared" si="59"/>
        <v>0</v>
      </c>
      <c r="P246" s="291" t="e">
        <f t="shared" si="61"/>
        <v>#DIV/0!</v>
      </c>
      <c r="Q246" s="335">
        <v>0</v>
      </c>
      <c r="R246" s="335">
        <f t="shared" si="62"/>
        <v>0</v>
      </c>
      <c r="S246" s="52"/>
      <c r="T246" s="279">
        <v>0</v>
      </c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  <c r="HH246" s="52"/>
      <c r="HI246" s="52"/>
      <c r="HJ246" s="52"/>
      <c r="HK246" s="52"/>
      <c r="HL246" s="52"/>
      <c r="HM246" s="52"/>
      <c r="HN246" s="52"/>
      <c r="HO246" s="52"/>
      <c r="HP246" s="52"/>
      <c r="HQ246" s="52"/>
      <c r="HR246" s="52"/>
      <c r="HS246" s="52"/>
      <c r="HT246" s="52"/>
      <c r="HU246" s="52"/>
      <c r="HV246" s="52"/>
      <c r="HW246" s="52"/>
    </row>
    <row r="247" spans="1:231" s="84" customFormat="1" ht="15">
      <c r="A247" s="79">
        <v>720</v>
      </c>
      <c r="B247" s="76">
        <v>200</v>
      </c>
      <c r="C247" s="76">
        <v>300</v>
      </c>
      <c r="D247" s="76">
        <v>200</v>
      </c>
      <c r="E247" s="77">
        <v>30</v>
      </c>
      <c r="F247" s="77"/>
      <c r="G247" s="65" t="s">
        <v>598</v>
      </c>
      <c r="H247" s="335">
        <v>0</v>
      </c>
      <c r="I247" s="333">
        <v>0</v>
      </c>
      <c r="J247" s="51" t="s">
        <v>107</v>
      </c>
      <c r="K247" s="64"/>
      <c r="L247" s="278">
        <f t="shared" si="63"/>
        <v>0</v>
      </c>
      <c r="M247" s="291" t="e">
        <f t="shared" si="60"/>
        <v>#DIV/0!</v>
      </c>
      <c r="N247" s="278">
        <v>0</v>
      </c>
      <c r="O247" s="278">
        <f t="shared" si="59"/>
        <v>0</v>
      </c>
      <c r="P247" s="291" t="e">
        <f t="shared" si="61"/>
        <v>#DIV/0!</v>
      </c>
      <c r="Q247" s="335">
        <v>0</v>
      </c>
      <c r="R247" s="335">
        <f t="shared" si="62"/>
        <v>0</v>
      </c>
      <c r="S247" s="52"/>
      <c r="T247" s="279">
        <v>0</v>
      </c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  <c r="GA247" s="52"/>
      <c r="GB247" s="52"/>
      <c r="GC247" s="52"/>
      <c r="GD247" s="52"/>
      <c r="GE247" s="52"/>
      <c r="GF247" s="52"/>
      <c r="GG247" s="52"/>
      <c r="GH247" s="52"/>
      <c r="GI247" s="52"/>
      <c r="GJ247" s="52"/>
      <c r="GK247" s="52"/>
      <c r="GL247" s="52"/>
      <c r="GM247" s="52"/>
      <c r="GN247" s="52"/>
      <c r="GO247" s="52"/>
      <c r="GP247" s="52"/>
      <c r="GQ247" s="52"/>
      <c r="GR247" s="52"/>
      <c r="GS247" s="52"/>
      <c r="GT247" s="52"/>
      <c r="GU247" s="52"/>
      <c r="GV247" s="52"/>
      <c r="GW247" s="52"/>
      <c r="GX247" s="52"/>
      <c r="GY247" s="52"/>
      <c r="GZ247" s="52"/>
      <c r="HA247" s="52"/>
      <c r="HB247" s="52"/>
      <c r="HC247" s="52"/>
      <c r="HD247" s="52"/>
      <c r="HE247" s="52"/>
      <c r="HF247" s="52"/>
      <c r="HG247" s="52"/>
      <c r="HH247" s="52"/>
      <c r="HI247" s="52"/>
      <c r="HJ247" s="52"/>
      <c r="HK247" s="52"/>
      <c r="HL247" s="52"/>
      <c r="HM247" s="52"/>
      <c r="HN247" s="52"/>
      <c r="HO247" s="52"/>
      <c r="HP247" s="52"/>
      <c r="HQ247" s="52"/>
      <c r="HR247" s="52"/>
      <c r="HS247" s="52"/>
      <c r="HT247" s="52"/>
      <c r="HU247" s="52"/>
      <c r="HV247" s="52"/>
      <c r="HW247" s="52"/>
    </row>
    <row r="248" spans="1:231" s="84" customFormat="1" ht="15">
      <c r="A248" s="79">
        <v>720</v>
      </c>
      <c r="B248" s="76">
        <v>200</v>
      </c>
      <c r="C248" s="76">
        <v>300</v>
      </c>
      <c r="D248" s="76">
        <v>200</v>
      </c>
      <c r="E248" s="77">
        <v>40</v>
      </c>
      <c r="F248" s="77"/>
      <c r="G248" s="65" t="s">
        <v>599</v>
      </c>
      <c r="H248" s="335">
        <v>0</v>
      </c>
      <c r="I248" s="333">
        <v>0</v>
      </c>
      <c r="J248" s="51" t="s">
        <v>108</v>
      </c>
      <c r="K248" s="64"/>
      <c r="L248" s="278">
        <f t="shared" si="63"/>
        <v>0</v>
      </c>
      <c r="M248" s="291" t="e">
        <f t="shared" si="60"/>
        <v>#DIV/0!</v>
      </c>
      <c r="N248" s="278">
        <v>0</v>
      </c>
      <c r="O248" s="278">
        <f t="shared" si="59"/>
        <v>0</v>
      </c>
      <c r="P248" s="291" t="e">
        <f t="shared" si="61"/>
        <v>#DIV/0!</v>
      </c>
      <c r="Q248" s="335">
        <v>0</v>
      </c>
      <c r="R248" s="335">
        <f t="shared" si="62"/>
        <v>0</v>
      </c>
      <c r="S248" s="52"/>
      <c r="T248" s="279">
        <v>0</v>
      </c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  <c r="HH248" s="52"/>
      <c r="HI248" s="52"/>
      <c r="HJ248" s="52"/>
      <c r="HK248" s="52"/>
      <c r="HL248" s="52"/>
      <c r="HM248" s="52"/>
      <c r="HN248" s="52"/>
      <c r="HO248" s="52"/>
      <c r="HP248" s="52"/>
      <c r="HQ248" s="52"/>
      <c r="HR248" s="52"/>
      <c r="HS248" s="52"/>
      <c r="HT248" s="52"/>
      <c r="HU248" s="52"/>
      <c r="HV248" s="52"/>
      <c r="HW248" s="52"/>
    </row>
    <row r="249" spans="1:231" s="84" customFormat="1" ht="25.5">
      <c r="A249" s="79">
        <v>720</v>
      </c>
      <c r="B249" s="76">
        <v>200</v>
      </c>
      <c r="C249" s="76">
        <v>300</v>
      </c>
      <c r="D249" s="76">
        <v>200</v>
      </c>
      <c r="E249" s="77">
        <v>50</v>
      </c>
      <c r="F249" s="77"/>
      <c r="G249" s="65" t="s">
        <v>600</v>
      </c>
      <c r="H249" s="335">
        <v>0</v>
      </c>
      <c r="I249" s="333">
        <v>0</v>
      </c>
      <c r="J249" s="51" t="s">
        <v>109</v>
      </c>
      <c r="K249" s="64"/>
      <c r="L249" s="278">
        <f t="shared" si="63"/>
        <v>0</v>
      </c>
      <c r="M249" s="291" t="e">
        <f t="shared" si="60"/>
        <v>#DIV/0!</v>
      </c>
      <c r="N249" s="278">
        <v>0</v>
      </c>
      <c r="O249" s="278">
        <f t="shared" si="59"/>
        <v>0</v>
      </c>
      <c r="P249" s="291" t="e">
        <f t="shared" si="61"/>
        <v>#DIV/0!</v>
      </c>
      <c r="Q249" s="335">
        <v>0</v>
      </c>
      <c r="R249" s="335">
        <f t="shared" si="62"/>
        <v>0</v>
      </c>
      <c r="S249" s="52"/>
      <c r="T249" s="279">
        <v>0</v>
      </c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52"/>
      <c r="GO249" s="52"/>
      <c r="GP249" s="52"/>
      <c r="GQ249" s="52"/>
      <c r="GR249" s="52"/>
      <c r="GS249" s="52"/>
      <c r="GT249" s="52"/>
      <c r="GU249" s="52"/>
      <c r="GV249" s="52"/>
      <c r="GW249" s="52"/>
      <c r="GX249" s="52"/>
      <c r="GY249" s="52"/>
      <c r="GZ249" s="52"/>
      <c r="HA249" s="52"/>
      <c r="HB249" s="52"/>
      <c r="HC249" s="52"/>
      <c r="HD249" s="52"/>
      <c r="HE249" s="52"/>
      <c r="HF249" s="52"/>
      <c r="HG249" s="52"/>
      <c r="HH249" s="52"/>
      <c r="HI249" s="52"/>
      <c r="HJ249" s="52"/>
      <c r="HK249" s="52"/>
      <c r="HL249" s="52"/>
      <c r="HM249" s="52"/>
      <c r="HN249" s="52"/>
      <c r="HO249" s="52"/>
      <c r="HP249" s="52"/>
      <c r="HQ249" s="52"/>
      <c r="HR249" s="52"/>
      <c r="HS249" s="52"/>
      <c r="HT249" s="52"/>
      <c r="HU249" s="52"/>
      <c r="HV249" s="52"/>
      <c r="HW249" s="52"/>
    </row>
    <row r="250" spans="1:231" s="84" customFormat="1" ht="15">
      <c r="A250" s="79">
        <v>720</v>
      </c>
      <c r="B250" s="76">
        <v>200</v>
      </c>
      <c r="C250" s="76">
        <v>300</v>
      </c>
      <c r="D250" s="76">
        <v>200</v>
      </c>
      <c r="E250" s="77">
        <v>60</v>
      </c>
      <c r="F250" s="77"/>
      <c r="G250" s="65" t="s">
        <v>601</v>
      </c>
      <c r="H250" s="335">
        <v>0</v>
      </c>
      <c r="I250" s="333">
        <v>0</v>
      </c>
      <c r="J250" s="51" t="s">
        <v>110</v>
      </c>
      <c r="K250" s="64"/>
      <c r="L250" s="278">
        <f t="shared" si="63"/>
        <v>0</v>
      </c>
      <c r="M250" s="291" t="e">
        <f t="shared" si="60"/>
        <v>#DIV/0!</v>
      </c>
      <c r="N250" s="278">
        <v>0</v>
      </c>
      <c r="O250" s="278">
        <f t="shared" si="59"/>
        <v>0</v>
      </c>
      <c r="P250" s="291" t="e">
        <f t="shared" si="61"/>
        <v>#DIV/0!</v>
      </c>
      <c r="Q250" s="335">
        <v>0</v>
      </c>
      <c r="R250" s="335">
        <f t="shared" si="62"/>
        <v>0</v>
      </c>
      <c r="S250" s="52"/>
      <c r="T250" s="279">
        <v>0</v>
      </c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2"/>
      <c r="HM250" s="52"/>
      <c r="HN250" s="52"/>
      <c r="HO250" s="52"/>
      <c r="HP250" s="52"/>
      <c r="HQ250" s="52"/>
      <c r="HR250" s="52"/>
      <c r="HS250" s="52"/>
      <c r="HT250" s="52"/>
      <c r="HU250" s="52"/>
      <c r="HV250" s="52"/>
      <c r="HW250" s="52"/>
    </row>
    <row r="251" spans="1:231" s="84" customFormat="1" ht="15">
      <c r="A251" s="79">
        <v>720</v>
      </c>
      <c r="B251" s="76">
        <v>200</v>
      </c>
      <c r="C251" s="76">
        <v>300</v>
      </c>
      <c r="D251" s="76">
        <v>200</v>
      </c>
      <c r="E251" s="77">
        <v>90</v>
      </c>
      <c r="F251" s="77"/>
      <c r="G251" s="65" t="s">
        <v>602</v>
      </c>
      <c r="H251" s="335">
        <v>4483510</v>
      </c>
      <c r="I251" s="333">
        <v>2214</v>
      </c>
      <c r="J251" s="51" t="s">
        <v>111</v>
      </c>
      <c r="K251" s="64"/>
      <c r="L251" s="278">
        <f t="shared" si="63"/>
        <v>4481296</v>
      </c>
      <c r="M251" s="291">
        <f t="shared" si="60"/>
        <v>2024.0723</v>
      </c>
      <c r="N251" s="278">
        <v>0</v>
      </c>
      <c r="O251" s="278">
        <f t="shared" si="59"/>
        <v>4483510</v>
      </c>
      <c r="P251" s="291" t="e">
        <f t="shared" si="61"/>
        <v>#DIV/0!</v>
      </c>
      <c r="Q251" s="335">
        <v>497</v>
      </c>
      <c r="R251" s="335">
        <f>H251-Q251</f>
        <v>4483013</v>
      </c>
      <c r="S251" s="52"/>
      <c r="T251" s="279">
        <v>2214</v>
      </c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  <c r="GA251" s="52"/>
      <c r="GB251" s="52"/>
      <c r="GC251" s="52"/>
      <c r="GD251" s="52"/>
      <c r="GE251" s="52"/>
      <c r="GF251" s="52"/>
      <c r="GG251" s="52"/>
      <c r="GH251" s="52"/>
      <c r="GI251" s="52"/>
      <c r="GJ251" s="52"/>
      <c r="GK251" s="52"/>
      <c r="GL251" s="52"/>
      <c r="GM251" s="52"/>
      <c r="GN251" s="52"/>
      <c r="GO251" s="52"/>
      <c r="GP251" s="52"/>
      <c r="GQ251" s="52"/>
      <c r="GR251" s="52"/>
      <c r="GS251" s="52"/>
      <c r="GT251" s="52"/>
      <c r="GU251" s="52"/>
      <c r="GV251" s="52"/>
      <c r="GW251" s="52"/>
      <c r="GX251" s="52"/>
      <c r="GY251" s="52"/>
      <c r="GZ251" s="52"/>
      <c r="HA251" s="52"/>
      <c r="HB251" s="52"/>
      <c r="HC251" s="52"/>
      <c r="HD251" s="52"/>
      <c r="HE251" s="52"/>
      <c r="HF251" s="52"/>
      <c r="HG251" s="52"/>
      <c r="HH251" s="52"/>
      <c r="HI251" s="52"/>
      <c r="HJ251" s="52"/>
      <c r="HK251" s="52"/>
      <c r="HL251" s="52"/>
      <c r="HM251" s="52"/>
      <c r="HN251" s="52"/>
      <c r="HO251" s="52"/>
      <c r="HP251" s="52"/>
      <c r="HQ251" s="52"/>
      <c r="HR251" s="52"/>
      <c r="HS251" s="52"/>
      <c r="HT251" s="52"/>
      <c r="HU251" s="52"/>
      <c r="HV251" s="52"/>
      <c r="HW251" s="52"/>
    </row>
    <row r="252" spans="1:231" s="84" customFormat="1" ht="15.75" thickBot="1">
      <c r="A252" s="86">
        <v>720</v>
      </c>
      <c r="B252" s="87">
        <v>200</v>
      </c>
      <c r="C252" s="88">
        <v>400</v>
      </c>
      <c r="D252" s="88"/>
      <c r="E252" s="88"/>
      <c r="F252" s="88"/>
      <c r="G252" s="89" t="s">
        <v>581</v>
      </c>
      <c r="H252" s="341">
        <v>40</v>
      </c>
      <c r="I252" s="333">
        <v>41</v>
      </c>
      <c r="J252" s="63" t="s">
        <v>112</v>
      </c>
      <c r="K252" s="64"/>
      <c r="L252" s="278">
        <f t="shared" si="63"/>
        <v>-1</v>
      </c>
      <c r="M252" s="291">
        <f>L252/I252</f>
        <v>-0.0244</v>
      </c>
      <c r="N252" s="288">
        <v>0</v>
      </c>
      <c r="O252" s="278">
        <f t="shared" si="59"/>
        <v>40</v>
      </c>
      <c r="P252" s="291" t="e">
        <f t="shared" si="61"/>
        <v>#DIV/0!</v>
      </c>
      <c r="Q252" s="341">
        <v>27</v>
      </c>
      <c r="R252" s="335">
        <f t="shared" si="62"/>
        <v>-13</v>
      </c>
      <c r="S252" s="52"/>
      <c r="T252" s="279">
        <v>41</v>
      </c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  <c r="HD252" s="52"/>
      <c r="HE252" s="52"/>
      <c r="HF252" s="52"/>
      <c r="HG252" s="52"/>
      <c r="HH252" s="52"/>
      <c r="HI252" s="52"/>
      <c r="HJ252" s="52"/>
      <c r="HK252" s="52"/>
      <c r="HL252" s="52"/>
      <c r="HM252" s="52"/>
      <c r="HN252" s="52"/>
      <c r="HO252" s="52"/>
      <c r="HP252" s="52"/>
      <c r="HQ252" s="52"/>
      <c r="HR252" s="52"/>
      <c r="HS252" s="52"/>
      <c r="HT252" s="52"/>
      <c r="HU252" s="52"/>
      <c r="HV252" s="52"/>
      <c r="HW252" s="52"/>
    </row>
    <row r="253" spans="1:231" s="84" customFormat="1" ht="15">
      <c r="A253" s="68"/>
      <c r="B253" s="68"/>
      <c r="C253" s="68"/>
      <c r="D253" s="68"/>
      <c r="E253" s="68"/>
      <c r="F253" s="68"/>
      <c r="G253" s="143" t="s">
        <v>604</v>
      </c>
      <c r="H253" s="347">
        <f>SUM(H4:H252)</f>
        <v>109571795</v>
      </c>
      <c r="I253" s="342">
        <f>SUM(I4:I252)</f>
        <v>92490968</v>
      </c>
      <c r="J253" s="148"/>
      <c r="K253" s="297"/>
      <c r="L253" s="290"/>
      <c r="M253" s="298"/>
      <c r="N253" s="283">
        <f>SUM(N4:N252)</f>
        <v>92673967</v>
      </c>
      <c r="O253" s="290"/>
      <c r="P253" s="298"/>
      <c r="Q253" s="342">
        <f>SUM(Q2:Q252)</f>
        <v>96533959</v>
      </c>
      <c r="R253" s="298"/>
      <c r="S253" s="299"/>
      <c r="T253" s="283">
        <f>SUM(T4:T252)</f>
        <v>92490968</v>
      </c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52"/>
      <c r="GO253" s="52"/>
      <c r="GP253" s="52"/>
      <c r="GQ253" s="52"/>
      <c r="GR253" s="52"/>
      <c r="GS253" s="52"/>
      <c r="GT253" s="52"/>
      <c r="GU253" s="52"/>
      <c r="GV253" s="52"/>
      <c r="GW253" s="52"/>
      <c r="GX253" s="52"/>
      <c r="GY253" s="52"/>
      <c r="GZ253" s="52"/>
      <c r="HA253" s="52"/>
      <c r="HB253" s="52"/>
      <c r="HC253" s="52"/>
      <c r="HD253" s="52"/>
      <c r="HE253" s="52"/>
      <c r="HF253" s="52"/>
      <c r="HG253" s="52"/>
      <c r="HH253" s="52"/>
      <c r="HI253" s="52"/>
      <c r="HJ253" s="52"/>
      <c r="HK253" s="52"/>
      <c r="HL253" s="52"/>
      <c r="HM253" s="52"/>
      <c r="HN253" s="52"/>
      <c r="HO253" s="52"/>
      <c r="HP253" s="52"/>
      <c r="HQ253" s="52"/>
      <c r="HR253" s="52"/>
      <c r="HS253" s="52"/>
      <c r="HT253" s="52"/>
      <c r="HU253" s="52"/>
      <c r="HV253" s="52"/>
      <c r="HW253" s="52"/>
    </row>
    <row r="254" spans="1:231" s="84" customFormat="1" ht="15">
      <c r="A254" s="68"/>
      <c r="B254" s="68"/>
      <c r="C254" s="68"/>
      <c r="D254" s="68"/>
      <c r="E254" s="68"/>
      <c r="F254" s="68"/>
      <c r="G254" s="143" t="s">
        <v>603</v>
      </c>
      <c r="H254" s="347" t="e">
        <f>#REF!</f>
        <v>#REF!</v>
      </c>
      <c r="I254" s="342" t="e">
        <f>#REF!</f>
        <v>#REF!</v>
      </c>
      <c r="J254" s="148"/>
      <c r="K254" s="297"/>
      <c r="L254" s="292"/>
      <c r="M254" s="290"/>
      <c r="N254" s="283" t="e">
        <f>#REF!</f>
        <v>#REF!</v>
      </c>
      <c r="O254" s="292"/>
      <c r="P254" s="292"/>
      <c r="Q254" s="342" t="e">
        <f>#REF!</f>
        <v>#REF!</v>
      </c>
      <c r="R254" s="292"/>
      <c r="S254" s="299"/>
      <c r="T254" s="283" t="e">
        <f>#REF!</f>
        <v>#REF!</v>
      </c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2"/>
      <c r="HM254" s="52"/>
      <c r="HN254" s="52"/>
      <c r="HO254" s="52"/>
      <c r="HP254" s="52"/>
      <c r="HQ254" s="52"/>
      <c r="HR254" s="52"/>
      <c r="HS254" s="52"/>
      <c r="HT254" s="52"/>
      <c r="HU254" s="52"/>
      <c r="HV254" s="52"/>
      <c r="HW254" s="52"/>
    </row>
    <row r="255" spans="1:231" s="84" customFormat="1" ht="15">
      <c r="A255" s="68"/>
      <c r="B255" s="68"/>
      <c r="C255" s="68"/>
      <c r="D255" s="68"/>
      <c r="E255" s="68"/>
      <c r="F255" s="68"/>
      <c r="G255" s="143" t="s">
        <v>605</v>
      </c>
      <c r="H255" s="347" t="e">
        <f>H253-H254</f>
        <v>#REF!</v>
      </c>
      <c r="I255" s="342" t="e">
        <f>I253-I254</f>
        <v>#REF!</v>
      </c>
      <c r="J255" s="148"/>
      <c r="K255" s="297"/>
      <c r="L255" s="290"/>
      <c r="M255" s="298"/>
      <c r="N255" s="283" t="e">
        <f>N253-N254</f>
        <v>#REF!</v>
      </c>
      <c r="O255" s="290"/>
      <c r="P255" s="298"/>
      <c r="Q255" s="342" t="e">
        <f>Q253-Q254</f>
        <v>#REF!</v>
      </c>
      <c r="R255" s="298"/>
      <c r="S255" s="299"/>
      <c r="T255" s="283" t="e">
        <f>T253-T254</f>
        <v>#REF!</v>
      </c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2"/>
      <c r="HQ255" s="52"/>
      <c r="HR255" s="52"/>
      <c r="HS255" s="52"/>
      <c r="HT255" s="52"/>
      <c r="HU255" s="52"/>
      <c r="HV255" s="52"/>
      <c r="HW255" s="52"/>
    </row>
    <row r="256" spans="1:231" s="84" customFormat="1" ht="15">
      <c r="A256" s="68"/>
      <c r="B256" s="68"/>
      <c r="C256" s="68"/>
      <c r="D256" s="68"/>
      <c r="E256" s="68"/>
      <c r="F256" s="68"/>
      <c r="G256" s="143"/>
      <c r="H256" s="343"/>
      <c r="I256" s="343"/>
      <c r="J256" s="148"/>
      <c r="K256" s="297"/>
      <c r="L256" s="290"/>
      <c r="M256" s="298"/>
      <c r="N256" s="274"/>
      <c r="O256" s="290"/>
      <c r="P256" s="298"/>
      <c r="Q256" s="343"/>
      <c r="R256" s="298"/>
      <c r="S256" s="299"/>
      <c r="T256" s="274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2"/>
      <c r="HM256" s="52"/>
      <c r="HN256" s="52"/>
      <c r="HO256" s="52"/>
      <c r="HP256" s="52"/>
      <c r="HQ256" s="52"/>
      <c r="HR256" s="52"/>
      <c r="HS256" s="52"/>
      <c r="HT256" s="52"/>
      <c r="HU256" s="52"/>
      <c r="HV256" s="52"/>
      <c r="HW256" s="52"/>
    </row>
    <row r="257" spans="1:231" s="84" customFormat="1" ht="15">
      <c r="A257" s="68"/>
      <c r="B257" s="68"/>
      <c r="C257" s="68"/>
      <c r="D257" s="68"/>
      <c r="E257" s="68"/>
      <c r="F257" s="68"/>
      <c r="G257" s="143"/>
      <c r="H257" s="343"/>
      <c r="I257" s="343"/>
      <c r="J257" s="148"/>
      <c r="K257" s="297"/>
      <c r="L257" s="290"/>
      <c r="M257" s="298"/>
      <c r="N257" s="274"/>
      <c r="O257" s="290"/>
      <c r="P257" s="298"/>
      <c r="Q257" s="342"/>
      <c r="R257" s="298"/>
      <c r="S257" s="299"/>
      <c r="T257" s="274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  <c r="HD257" s="52"/>
      <c r="HE257" s="52"/>
      <c r="HF257" s="52"/>
      <c r="HG257" s="52"/>
      <c r="HH257" s="52"/>
      <c r="HI257" s="52"/>
      <c r="HJ257" s="52"/>
      <c r="HK257" s="52"/>
      <c r="HL257" s="52"/>
      <c r="HM257" s="52"/>
      <c r="HN257" s="52"/>
      <c r="HO257" s="52"/>
      <c r="HP257" s="52"/>
      <c r="HQ257" s="52"/>
      <c r="HR257" s="52"/>
      <c r="HS257" s="52"/>
      <c r="HT257" s="52"/>
      <c r="HU257" s="52"/>
      <c r="HV257" s="52"/>
      <c r="HW257" s="52"/>
    </row>
    <row r="258" spans="1:231" s="84" customFormat="1" ht="15">
      <c r="A258" s="68"/>
      <c r="B258" s="68"/>
      <c r="C258" s="68"/>
      <c r="D258" s="68"/>
      <c r="E258" s="68"/>
      <c r="F258" s="68"/>
      <c r="G258" s="143"/>
      <c r="H258" s="343"/>
      <c r="I258" s="343"/>
      <c r="J258" s="148"/>
      <c r="K258" s="297"/>
      <c r="L258" s="290"/>
      <c r="M258" s="298"/>
      <c r="N258" s="274"/>
      <c r="O258" s="290"/>
      <c r="P258" s="298"/>
      <c r="Q258" s="342"/>
      <c r="R258" s="298"/>
      <c r="S258" s="299"/>
      <c r="T258" s="274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  <c r="GA258" s="52"/>
      <c r="GB258" s="52"/>
      <c r="GC258" s="52"/>
      <c r="GD258" s="52"/>
      <c r="GE258" s="52"/>
      <c r="GF258" s="52"/>
      <c r="GG258" s="52"/>
      <c r="GH258" s="52"/>
      <c r="GI258" s="52"/>
      <c r="GJ258" s="52"/>
      <c r="GK258" s="52"/>
      <c r="GL258" s="52"/>
      <c r="GM258" s="52"/>
      <c r="GN258" s="52"/>
      <c r="GO258" s="52"/>
      <c r="GP258" s="52"/>
      <c r="GQ258" s="52"/>
      <c r="GR258" s="52"/>
      <c r="GS258" s="52"/>
      <c r="GT258" s="52"/>
      <c r="GU258" s="52"/>
      <c r="GV258" s="52"/>
      <c r="GW258" s="52"/>
      <c r="GX258" s="52"/>
      <c r="GY258" s="52"/>
      <c r="GZ258" s="52"/>
      <c r="HA258" s="52"/>
      <c r="HB258" s="52"/>
      <c r="HC258" s="52"/>
      <c r="HD258" s="52"/>
      <c r="HE258" s="52"/>
      <c r="HF258" s="52"/>
      <c r="HG258" s="52"/>
      <c r="HH258" s="52"/>
      <c r="HI258" s="52"/>
      <c r="HJ258" s="52"/>
      <c r="HK258" s="52"/>
      <c r="HL258" s="52"/>
      <c r="HM258" s="52"/>
      <c r="HN258" s="52"/>
      <c r="HO258" s="52"/>
      <c r="HP258" s="52"/>
      <c r="HQ258" s="52"/>
      <c r="HR258" s="52"/>
      <c r="HS258" s="52"/>
      <c r="HT258" s="52"/>
      <c r="HU258" s="52"/>
      <c r="HV258" s="52"/>
      <c r="HW258" s="52"/>
    </row>
    <row r="259" spans="1:231" s="84" customFormat="1" ht="15">
      <c r="A259" s="68"/>
      <c r="B259" s="68"/>
      <c r="C259" s="68"/>
      <c r="D259" s="68"/>
      <c r="E259" s="68"/>
      <c r="F259" s="68"/>
      <c r="G259" s="143"/>
      <c r="H259" s="343"/>
      <c r="I259" s="343"/>
      <c r="J259" s="148"/>
      <c r="K259" s="297"/>
      <c r="L259" s="290"/>
      <c r="M259" s="298"/>
      <c r="N259" s="274"/>
      <c r="O259" s="290"/>
      <c r="P259" s="298"/>
      <c r="Q259" s="343"/>
      <c r="R259" s="298"/>
      <c r="S259" s="299"/>
      <c r="T259" s="274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52"/>
      <c r="GE259" s="52"/>
      <c r="GF259" s="52"/>
      <c r="GG259" s="52"/>
      <c r="GH259" s="52"/>
      <c r="GI259" s="52"/>
      <c r="GJ259" s="52"/>
      <c r="GK259" s="52"/>
      <c r="GL259" s="52"/>
      <c r="GM259" s="52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52"/>
      <c r="GY259" s="52"/>
      <c r="GZ259" s="52"/>
      <c r="HA259" s="52"/>
      <c r="HB259" s="52"/>
      <c r="HC259" s="52"/>
      <c r="HD259" s="52"/>
      <c r="HE259" s="52"/>
      <c r="HF259" s="52"/>
      <c r="HG259" s="52"/>
      <c r="HH259" s="52"/>
      <c r="HI259" s="52"/>
      <c r="HJ259" s="52"/>
      <c r="HK259" s="52"/>
      <c r="HL259" s="52"/>
      <c r="HM259" s="52"/>
      <c r="HN259" s="52"/>
      <c r="HO259" s="52"/>
      <c r="HP259" s="52"/>
      <c r="HQ259" s="52"/>
      <c r="HR259" s="52"/>
      <c r="HS259" s="52"/>
      <c r="HT259" s="52"/>
      <c r="HU259" s="52"/>
      <c r="HV259" s="52"/>
      <c r="HW259" s="52"/>
    </row>
    <row r="260" spans="1:231" s="84" customFormat="1" ht="15">
      <c r="A260" s="68"/>
      <c r="B260" s="68"/>
      <c r="C260" s="68"/>
      <c r="D260" s="68"/>
      <c r="E260" s="68"/>
      <c r="F260" s="68"/>
      <c r="G260" s="143"/>
      <c r="H260" s="343"/>
      <c r="I260" s="343"/>
      <c r="J260" s="148"/>
      <c r="K260" s="297"/>
      <c r="L260" s="290"/>
      <c r="M260" s="298"/>
      <c r="N260" s="274"/>
      <c r="O260" s="290"/>
      <c r="P260" s="298"/>
      <c r="Q260" s="343"/>
      <c r="R260" s="298"/>
      <c r="S260" s="299"/>
      <c r="T260" s="274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  <c r="EY260" s="52"/>
      <c r="EZ260" s="52"/>
      <c r="FA260" s="52"/>
      <c r="FB260" s="52"/>
      <c r="FC260" s="52"/>
      <c r="FD260" s="52"/>
      <c r="FE260" s="52"/>
      <c r="FF260" s="52"/>
      <c r="FG260" s="52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  <c r="FX260" s="52"/>
      <c r="FY260" s="52"/>
      <c r="FZ260" s="52"/>
      <c r="GA260" s="52"/>
      <c r="GB260" s="52"/>
      <c r="GC260" s="52"/>
      <c r="GD260" s="52"/>
      <c r="GE260" s="52"/>
      <c r="GF260" s="52"/>
      <c r="GG260" s="52"/>
      <c r="GH260" s="52"/>
      <c r="GI260" s="52"/>
      <c r="GJ260" s="52"/>
      <c r="GK260" s="52"/>
      <c r="GL260" s="52"/>
      <c r="GM260" s="52"/>
      <c r="GN260" s="52"/>
      <c r="GO260" s="52"/>
      <c r="GP260" s="52"/>
      <c r="GQ260" s="52"/>
      <c r="GR260" s="52"/>
      <c r="GS260" s="52"/>
      <c r="GT260" s="52"/>
      <c r="GU260" s="52"/>
      <c r="GV260" s="52"/>
      <c r="GW260" s="52"/>
      <c r="GX260" s="52"/>
      <c r="GY260" s="52"/>
      <c r="GZ260" s="52"/>
      <c r="HA260" s="52"/>
      <c r="HB260" s="52"/>
      <c r="HC260" s="52"/>
      <c r="HD260" s="52"/>
      <c r="HE260" s="52"/>
      <c r="HF260" s="52"/>
      <c r="HG260" s="52"/>
      <c r="HH260" s="52"/>
      <c r="HI260" s="52"/>
      <c r="HJ260" s="52"/>
      <c r="HK260" s="52"/>
      <c r="HL260" s="52"/>
      <c r="HM260" s="52"/>
      <c r="HN260" s="52"/>
      <c r="HO260" s="52"/>
      <c r="HP260" s="52"/>
      <c r="HQ260" s="52"/>
      <c r="HR260" s="52"/>
      <c r="HS260" s="52"/>
      <c r="HT260" s="52"/>
      <c r="HU260" s="52"/>
      <c r="HV260" s="52"/>
      <c r="HW260" s="52"/>
    </row>
    <row r="261" spans="1:231" s="84" customFormat="1" ht="15">
      <c r="A261" s="68"/>
      <c r="B261" s="68"/>
      <c r="C261" s="68"/>
      <c r="D261" s="68"/>
      <c r="E261" s="68"/>
      <c r="F261" s="68"/>
      <c r="G261" s="143"/>
      <c r="H261" s="343"/>
      <c r="I261" s="343"/>
      <c r="J261" s="148"/>
      <c r="K261" s="297"/>
      <c r="L261" s="290"/>
      <c r="M261" s="298"/>
      <c r="N261" s="274"/>
      <c r="O261" s="290"/>
      <c r="P261" s="298"/>
      <c r="Q261" s="343"/>
      <c r="R261" s="298"/>
      <c r="S261" s="299"/>
      <c r="T261" s="274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  <c r="EY261" s="52"/>
      <c r="EZ261" s="52"/>
      <c r="FA261" s="52"/>
      <c r="FB261" s="52"/>
      <c r="FC261" s="52"/>
      <c r="FD261" s="52"/>
      <c r="FE261" s="52"/>
      <c r="FF261" s="52"/>
      <c r="FG261" s="52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  <c r="FX261" s="52"/>
      <c r="FY261" s="52"/>
      <c r="FZ261" s="52"/>
      <c r="GA261" s="52"/>
      <c r="GB261" s="52"/>
      <c r="GC261" s="52"/>
      <c r="GD261" s="52"/>
      <c r="GE261" s="52"/>
      <c r="GF261" s="52"/>
      <c r="GG261" s="52"/>
      <c r="GH261" s="52"/>
      <c r="GI261" s="52"/>
      <c r="GJ261" s="52"/>
      <c r="GK261" s="52"/>
      <c r="GL261" s="52"/>
      <c r="GM261" s="52"/>
      <c r="GN261" s="52"/>
      <c r="GO261" s="52"/>
      <c r="GP261" s="52"/>
      <c r="GQ261" s="52"/>
      <c r="GR261" s="52"/>
      <c r="GS261" s="52"/>
      <c r="GT261" s="52"/>
      <c r="GU261" s="52"/>
      <c r="GV261" s="52"/>
      <c r="GW261" s="52"/>
      <c r="GX261" s="52"/>
      <c r="GY261" s="52"/>
      <c r="GZ261" s="52"/>
      <c r="HA261" s="52"/>
      <c r="HB261" s="52"/>
      <c r="HC261" s="52"/>
      <c r="HD261" s="52"/>
      <c r="HE261" s="52"/>
      <c r="HF261" s="52"/>
      <c r="HG261" s="52"/>
      <c r="HH261" s="52"/>
      <c r="HI261" s="52"/>
      <c r="HJ261" s="52"/>
      <c r="HK261" s="52"/>
      <c r="HL261" s="52"/>
      <c r="HM261" s="52"/>
      <c r="HN261" s="52"/>
      <c r="HO261" s="52"/>
      <c r="HP261" s="52"/>
      <c r="HQ261" s="52"/>
      <c r="HR261" s="52"/>
      <c r="HS261" s="52"/>
      <c r="HT261" s="52"/>
      <c r="HU261" s="52"/>
      <c r="HV261" s="52"/>
      <c r="HW261" s="52"/>
    </row>
    <row r="262" spans="1:231" s="84" customFormat="1" ht="15">
      <c r="A262" s="68"/>
      <c r="B262" s="68"/>
      <c r="C262" s="68"/>
      <c r="D262" s="68"/>
      <c r="E262" s="68"/>
      <c r="F262" s="68"/>
      <c r="G262" s="143"/>
      <c r="H262" s="343"/>
      <c r="I262" s="343"/>
      <c r="J262" s="148"/>
      <c r="K262" s="297"/>
      <c r="L262" s="290"/>
      <c r="M262" s="298"/>
      <c r="N262" s="274"/>
      <c r="O262" s="290"/>
      <c r="P262" s="298"/>
      <c r="Q262" s="343"/>
      <c r="R262" s="298"/>
      <c r="S262" s="299"/>
      <c r="T262" s="274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  <c r="EY262" s="52"/>
      <c r="EZ262" s="52"/>
      <c r="FA262" s="52"/>
      <c r="FB262" s="52"/>
      <c r="FC262" s="52"/>
      <c r="FD262" s="52"/>
      <c r="FE262" s="52"/>
      <c r="FF262" s="52"/>
      <c r="FG262" s="52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  <c r="FX262" s="52"/>
      <c r="FY262" s="52"/>
      <c r="FZ262" s="52"/>
      <c r="GA262" s="52"/>
      <c r="GB262" s="52"/>
      <c r="GC262" s="52"/>
      <c r="GD262" s="52"/>
      <c r="GE262" s="52"/>
      <c r="GF262" s="52"/>
      <c r="GG262" s="52"/>
      <c r="GH262" s="52"/>
      <c r="GI262" s="52"/>
      <c r="GJ262" s="52"/>
      <c r="GK262" s="52"/>
      <c r="GL262" s="52"/>
      <c r="GM262" s="52"/>
      <c r="GN262" s="52"/>
      <c r="GO262" s="52"/>
      <c r="GP262" s="52"/>
      <c r="GQ262" s="52"/>
      <c r="GR262" s="52"/>
      <c r="GS262" s="52"/>
      <c r="GT262" s="52"/>
      <c r="GU262" s="52"/>
      <c r="GV262" s="52"/>
      <c r="GW262" s="52"/>
      <c r="GX262" s="52"/>
      <c r="GY262" s="52"/>
      <c r="GZ262" s="52"/>
      <c r="HA262" s="52"/>
      <c r="HB262" s="52"/>
      <c r="HC262" s="52"/>
      <c r="HD262" s="52"/>
      <c r="HE262" s="52"/>
      <c r="HF262" s="52"/>
      <c r="HG262" s="52"/>
      <c r="HH262" s="52"/>
      <c r="HI262" s="52"/>
      <c r="HJ262" s="52"/>
      <c r="HK262" s="52"/>
      <c r="HL262" s="52"/>
      <c r="HM262" s="52"/>
      <c r="HN262" s="52"/>
      <c r="HO262" s="52"/>
      <c r="HP262" s="52"/>
      <c r="HQ262" s="52"/>
      <c r="HR262" s="52"/>
      <c r="HS262" s="52"/>
      <c r="HT262" s="52"/>
      <c r="HU262" s="52"/>
      <c r="HV262" s="52"/>
      <c r="HW262" s="52"/>
    </row>
    <row r="263" spans="1:231" s="84" customFormat="1" ht="15">
      <c r="A263" s="68"/>
      <c r="B263" s="68"/>
      <c r="C263" s="68"/>
      <c r="D263" s="68"/>
      <c r="E263" s="68"/>
      <c r="F263" s="68"/>
      <c r="G263" s="143"/>
      <c r="H263" s="343"/>
      <c r="I263" s="343"/>
      <c r="J263" s="148"/>
      <c r="K263" s="297"/>
      <c r="L263" s="290"/>
      <c r="M263" s="298"/>
      <c r="N263" s="274"/>
      <c r="O263" s="290"/>
      <c r="P263" s="298"/>
      <c r="Q263" s="343"/>
      <c r="R263" s="298"/>
      <c r="S263" s="299"/>
      <c r="T263" s="274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  <c r="EY263" s="52"/>
      <c r="EZ263" s="52"/>
      <c r="FA263" s="52"/>
      <c r="FB263" s="52"/>
      <c r="FC263" s="52"/>
      <c r="FD263" s="52"/>
      <c r="FE263" s="52"/>
      <c r="FF263" s="52"/>
      <c r="FG263" s="52"/>
      <c r="FH263" s="52"/>
      <c r="FI263" s="52"/>
      <c r="FJ263" s="52"/>
      <c r="FK263" s="52"/>
      <c r="FL263" s="52"/>
      <c r="FM263" s="52"/>
      <c r="FN263" s="52"/>
      <c r="FO263" s="52"/>
      <c r="FP263" s="52"/>
      <c r="FQ263" s="52"/>
      <c r="FR263" s="52"/>
      <c r="FS263" s="52"/>
      <c r="FT263" s="52"/>
      <c r="FU263" s="52"/>
      <c r="FV263" s="52"/>
      <c r="FW263" s="52"/>
      <c r="FX263" s="52"/>
      <c r="FY263" s="52"/>
      <c r="FZ263" s="52"/>
      <c r="GA263" s="52"/>
      <c r="GB263" s="52"/>
      <c r="GC263" s="52"/>
      <c r="GD263" s="52"/>
      <c r="GE263" s="52"/>
      <c r="GF263" s="52"/>
      <c r="GG263" s="52"/>
      <c r="GH263" s="52"/>
      <c r="GI263" s="52"/>
      <c r="GJ263" s="52"/>
      <c r="GK263" s="52"/>
      <c r="GL263" s="52"/>
      <c r="GM263" s="52"/>
      <c r="GN263" s="52"/>
      <c r="GO263" s="52"/>
      <c r="GP263" s="52"/>
      <c r="GQ263" s="52"/>
      <c r="GR263" s="52"/>
      <c r="GS263" s="52"/>
      <c r="GT263" s="52"/>
      <c r="GU263" s="52"/>
      <c r="GV263" s="52"/>
      <c r="GW263" s="52"/>
      <c r="GX263" s="52"/>
      <c r="GY263" s="52"/>
      <c r="GZ263" s="52"/>
      <c r="HA263" s="52"/>
      <c r="HB263" s="52"/>
      <c r="HC263" s="52"/>
      <c r="HD263" s="52"/>
      <c r="HE263" s="52"/>
      <c r="HF263" s="52"/>
      <c r="HG263" s="52"/>
      <c r="HH263" s="52"/>
      <c r="HI263" s="52"/>
      <c r="HJ263" s="52"/>
      <c r="HK263" s="52"/>
      <c r="HL263" s="52"/>
      <c r="HM263" s="52"/>
      <c r="HN263" s="52"/>
      <c r="HO263" s="52"/>
      <c r="HP263" s="52"/>
      <c r="HQ263" s="52"/>
      <c r="HR263" s="52"/>
      <c r="HS263" s="52"/>
      <c r="HT263" s="52"/>
      <c r="HU263" s="52"/>
      <c r="HV263" s="52"/>
      <c r="HW263" s="52"/>
    </row>
    <row r="264" spans="1:231" s="84" customFormat="1" ht="15">
      <c r="A264" s="68"/>
      <c r="B264" s="68"/>
      <c r="C264" s="68"/>
      <c r="D264" s="68"/>
      <c r="E264" s="68"/>
      <c r="F264" s="68"/>
      <c r="G264" s="143"/>
      <c r="H264" s="343"/>
      <c r="I264" s="343"/>
      <c r="J264" s="148"/>
      <c r="K264" s="297"/>
      <c r="L264" s="292"/>
      <c r="M264" s="290"/>
      <c r="N264" s="274"/>
      <c r="O264" s="292"/>
      <c r="P264" s="292"/>
      <c r="Q264" s="343"/>
      <c r="R264" s="292"/>
      <c r="S264" s="299"/>
      <c r="T264" s="274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2"/>
      <c r="FD264" s="52"/>
      <c r="FE264" s="52"/>
      <c r="FF264" s="52"/>
      <c r="FG264" s="52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  <c r="FX264" s="52"/>
      <c r="FY264" s="52"/>
      <c r="FZ264" s="52"/>
      <c r="GA264" s="52"/>
      <c r="GB264" s="52"/>
      <c r="GC264" s="52"/>
      <c r="GD264" s="52"/>
      <c r="GE264" s="52"/>
      <c r="GF264" s="52"/>
      <c r="GG264" s="52"/>
      <c r="GH264" s="52"/>
      <c r="GI264" s="52"/>
      <c r="GJ264" s="52"/>
      <c r="GK264" s="52"/>
      <c r="GL264" s="52"/>
      <c r="GM264" s="52"/>
      <c r="GN264" s="52"/>
      <c r="GO264" s="52"/>
      <c r="GP264" s="52"/>
      <c r="GQ264" s="52"/>
      <c r="GR264" s="52"/>
      <c r="GS264" s="52"/>
      <c r="GT264" s="52"/>
      <c r="GU264" s="52"/>
      <c r="GV264" s="52"/>
      <c r="GW264" s="52"/>
      <c r="GX264" s="52"/>
      <c r="GY264" s="52"/>
      <c r="GZ264" s="52"/>
      <c r="HA264" s="52"/>
      <c r="HB264" s="52"/>
      <c r="HC264" s="52"/>
      <c r="HD264" s="52"/>
      <c r="HE264" s="52"/>
      <c r="HF264" s="52"/>
      <c r="HG264" s="52"/>
      <c r="HH264" s="52"/>
      <c r="HI264" s="52"/>
      <c r="HJ264" s="52"/>
      <c r="HK264" s="52"/>
      <c r="HL264" s="52"/>
      <c r="HM264" s="52"/>
      <c r="HN264" s="52"/>
      <c r="HO264" s="52"/>
      <c r="HP264" s="52"/>
      <c r="HQ264" s="52"/>
      <c r="HR264" s="52"/>
      <c r="HS264" s="52"/>
      <c r="HT264" s="52"/>
      <c r="HU264" s="52"/>
      <c r="HV264" s="52"/>
      <c r="HW264" s="52"/>
    </row>
    <row r="265" spans="1:231" s="84" customFormat="1" ht="15">
      <c r="A265" s="68"/>
      <c r="B265" s="68"/>
      <c r="C265" s="68"/>
      <c r="D265" s="68"/>
      <c r="E265" s="68"/>
      <c r="F265" s="68"/>
      <c r="G265" s="143"/>
      <c r="H265" s="343"/>
      <c r="I265" s="343"/>
      <c r="J265" s="148"/>
      <c r="K265" s="297"/>
      <c r="L265" s="290"/>
      <c r="M265" s="298"/>
      <c r="N265" s="274"/>
      <c r="O265" s="290"/>
      <c r="P265" s="298"/>
      <c r="Q265" s="343"/>
      <c r="R265" s="298"/>
      <c r="S265" s="299"/>
      <c r="T265" s="274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  <c r="EY265" s="52"/>
      <c r="EZ265" s="52"/>
      <c r="FA265" s="52"/>
      <c r="FB265" s="52"/>
      <c r="FC265" s="52"/>
      <c r="FD265" s="52"/>
      <c r="FE265" s="52"/>
      <c r="FF265" s="52"/>
      <c r="FG265" s="52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  <c r="FX265" s="52"/>
      <c r="FY265" s="52"/>
      <c r="FZ265" s="52"/>
      <c r="GA265" s="52"/>
      <c r="GB265" s="52"/>
      <c r="GC265" s="52"/>
      <c r="GD265" s="52"/>
      <c r="GE265" s="52"/>
      <c r="GF265" s="52"/>
      <c r="GG265" s="52"/>
      <c r="GH265" s="52"/>
      <c r="GI265" s="52"/>
      <c r="GJ265" s="52"/>
      <c r="GK265" s="52"/>
      <c r="GL265" s="52"/>
      <c r="GM265" s="52"/>
      <c r="GN265" s="52"/>
      <c r="GO265" s="52"/>
      <c r="GP265" s="52"/>
      <c r="GQ265" s="52"/>
      <c r="GR265" s="52"/>
      <c r="GS265" s="52"/>
      <c r="GT265" s="52"/>
      <c r="GU265" s="52"/>
      <c r="GV265" s="52"/>
      <c r="GW265" s="52"/>
      <c r="GX265" s="52"/>
      <c r="GY265" s="52"/>
      <c r="GZ265" s="52"/>
      <c r="HA265" s="52"/>
      <c r="HB265" s="52"/>
      <c r="HC265" s="52"/>
      <c r="HD265" s="52"/>
      <c r="HE265" s="52"/>
      <c r="HF265" s="52"/>
      <c r="HG265" s="52"/>
      <c r="HH265" s="52"/>
      <c r="HI265" s="52"/>
      <c r="HJ265" s="52"/>
      <c r="HK265" s="52"/>
      <c r="HL265" s="52"/>
      <c r="HM265" s="52"/>
      <c r="HN265" s="52"/>
      <c r="HO265" s="52"/>
      <c r="HP265" s="52"/>
      <c r="HQ265" s="52"/>
      <c r="HR265" s="52"/>
      <c r="HS265" s="52"/>
      <c r="HT265" s="52"/>
      <c r="HU265" s="52"/>
      <c r="HV265" s="52"/>
      <c r="HW265" s="52"/>
    </row>
    <row r="266" spans="1:231" s="84" customFormat="1" ht="15">
      <c r="A266" s="68"/>
      <c r="B266" s="68"/>
      <c r="C266" s="68"/>
      <c r="D266" s="68"/>
      <c r="E266" s="68"/>
      <c r="F266" s="68"/>
      <c r="G266" s="143"/>
      <c r="H266" s="343"/>
      <c r="I266" s="343"/>
      <c r="J266" s="148"/>
      <c r="K266" s="297"/>
      <c r="L266" s="290"/>
      <c r="M266" s="298"/>
      <c r="N266" s="274"/>
      <c r="O266" s="290"/>
      <c r="P266" s="298"/>
      <c r="Q266" s="343"/>
      <c r="R266" s="298"/>
      <c r="S266" s="299"/>
      <c r="T266" s="274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  <c r="EY266" s="52"/>
      <c r="EZ266" s="52"/>
      <c r="FA266" s="52"/>
      <c r="FB266" s="52"/>
      <c r="FC266" s="52"/>
      <c r="FD266" s="52"/>
      <c r="FE266" s="52"/>
      <c r="FF266" s="52"/>
      <c r="FG266" s="52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  <c r="FX266" s="52"/>
      <c r="FY266" s="52"/>
      <c r="FZ266" s="52"/>
      <c r="GA266" s="52"/>
      <c r="GB266" s="52"/>
      <c r="GC266" s="52"/>
      <c r="GD266" s="52"/>
      <c r="GE266" s="52"/>
      <c r="GF266" s="52"/>
      <c r="GG266" s="52"/>
      <c r="GH266" s="52"/>
      <c r="GI266" s="52"/>
      <c r="GJ266" s="52"/>
      <c r="GK266" s="52"/>
      <c r="GL266" s="52"/>
      <c r="GM266" s="52"/>
      <c r="GN266" s="52"/>
      <c r="GO266" s="52"/>
      <c r="GP266" s="52"/>
      <c r="GQ266" s="52"/>
      <c r="GR266" s="52"/>
      <c r="GS266" s="52"/>
      <c r="GT266" s="52"/>
      <c r="GU266" s="52"/>
      <c r="GV266" s="52"/>
      <c r="GW266" s="52"/>
      <c r="GX266" s="52"/>
      <c r="GY266" s="52"/>
      <c r="GZ266" s="52"/>
      <c r="HA266" s="52"/>
      <c r="HB266" s="52"/>
      <c r="HC266" s="52"/>
      <c r="HD266" s="52"/>
      <c r="HE266" s="52"/>
      <c r="HF266" s="52"/>
      <c r="HG266" s="52"/>
      <c r="HH266" s="52"/>
      <c r="HI266" s="52"/>
      <c r="HJ266" s="52"/>
      <c r="HK266" s="52"/>
      <c r="HL266" s="52"/>
      <c r="HM266" s="52"/>
      <c r="HN266" s="52"/>
      <c r="HO266" s="52"/>
      <c r="HP266" s="52"/>
      <c r="HQ266" s="52"/>
      <c r="HR266" s="52"/>
      <c r="HS266" s="52"/>
      <c r="HT266" s="52"/>
      <c r="HU266" s="52"/>
      <c r="HV266" s="52"/>
      <c r="HW266" s="52"/>
    </row>
    <row r="267" spans="1:231" s="84" customFormat="1" ht="15">
      <c r="A267" s="68"/>
      <c r="B267" s="68"/>
      <c r="C267" s="68"/>
      <c r="D267" s="68"/>
      <c r="E267" s="68"/>
      <c r="F267" s="68"/>
      <c r="G267" s="143"/>
      <c r="H267" s="343"/>
      <c r="I267" s="343"/>
      <c r="J267" s="148"/>
      <c r="K267" s="297"/>
      <c r="L267" s="290"/>
      <c r="M267" s="298"/>
      <c r="N267" s="274"/>
      <c r="O267" s="290"/>
      <c r="P267" s="298"/>
      <c r="Q267" s="343"/>
      <c r="R267" s="298"/>
      <c r="S267" s="299"/>
      <c r="T267" s="274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  <c r="EY267" s="52"/>
      <c r="EZ267" s="52"/>
      <c r="FA267" s="52"/>
      <c r="FB267" s="52"/>
      <c r="FC267" s="52"/>
      <c r="FD267" s="52"/>
      <c r="FE267" s="52"/>
      <c r="FF267" s="52"/>
      <c r="FG267" s="52"/>
      <c r="FH267" s="52"/>
      <c r="FI267" s="52"/>
      <c r="FJ267" s="52"/>
      <c r="FK267" s="52"/>
      <c r="FL267" s="52"/>
      <c r="FM267" s="52"/>
      <c r="FN267" s="52"/>
      <c r="FO267" s="52"/>
      <c r="FP267" s="52"/>
      <c r="FQ267" s="52"/>
      <c r="FR267" s="52"/>
      <c r="FS267" s="52"/>
      <c r="FT267" s="52"/>
      <c r="FU267" s="52"/>
      <c r="FV267" s="52"/>
      <c r="FW267" s="52"/>
      <c r="FX267" s="52"/>
      <c r="FY267" s="52"/>
      <c r="FZ267" s="52"/>
      <c r="GA267" s="52"/>
      <c r="GB267" s="52"/>
      <c r="GC267" s="52"/>
      <c r="GD267" s="52"/>
      <c r="GE267" s="52"/>
      <c r="GF267" s="52"/>
      <c r="GG267" s="52"/>
      <c r="GH267" s="52"/>
      <c r="GI267" s="52"/>
      <c r="GJ267" s="52"/>
      <c r="GK267" s="52"/>
      <c r="GL267" s="52"/>
      <c r="GM267" s="52"/>
      <c r="GN267" s="52"/>
      <c r="GO267" s="52"/>
      <c r="GP267" s="52"/>
      <c r="GQ267" s="52"/>
      <c r="GR267" s="52"/>
      <c r="GS267" s="52"/>
      <c r="GT267" s="52"/>
      <c r="GU267" s="52"/>
      <c r="GV267" s="52"/>
      <c r="GW267" s="52"/>
      <c r="GX267" s="52"/>
      <c r="GY267" s="52"/>
      <c r="GZ267" s="52"/>
      <c r="HA267" s="52"/>
      <c r="HB267" s="52"/>
      <c r="HC267" s="52"/>
      <c r="HD267" s="52"/>
      <c r="HE267" s="52"/>
      <c r="HF267" s="52"/>
      <c r="HG267" s="52"/>
      <c r="HH267" s="52"/>
      <c r="HI267" s="52"/>
      <c r="HJ267" s="52"/>
      <c r="HK267" s="52"/>
      <c r="HL267" s="52"/>
      <c r="HM267" s="52"/>
      <c r="HN267" s="52"/>
      <c r="HO267" s="52"/>
      <c r="HP267" s="52"/>
      <c r="HQ267" s="52"/>
      <c r="HR267" s="52"/>
      <c r="HS267" s="52"/>
      <c r="HT267" s="52"/>
      <c r="HU267" s="52"/>
      <c r="HV267" s="52"/>
      <c r="HW267" s="52"/>
    </row>
    <row r="268" spans="1:231" s="84" customFormat="1" ht="15">
      <c r="A268" s="68"/>
      <c r="B268" s="68"/>
      <c r="C268" s="68"/>
      <c r="D268" s="68"/>
      <c r="E268" s="68"/>
      <c r="F268" s="68"/>
      <c r="G268" s="143"/>
      <c r="H268" s="343"/>
      <c r="I268" s="343"/>
      <c r="J268" s="148"/>
      <c r="K268" s="297"/>
      <c r="L268" s="290"/>
      <c r="M268" s="298"/>
      <c r="N268" s="274"/>
      <c r="O268" s="290"/>
      <c r="P268" s="298"/>
      <c r="Q268" s="343"/>
      <c r="R268" s="298"/>
      <c r="S268" s="299"/>
      <c r="T268" s="274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  <c r="EY268" s="52"/>
      <c r="EZ268" s="52"/>
      <c r="FA268" s="52"/>
      <c r="FB268" s="52"/>
      <c r="FC268" s="52"/>
      <c r="FD268" s="52"/>
      <c r="FE268" s="52"/>
      <c r="FF268" s="52"/>
      <c r="FG268" s="52"/>
      <c r="FH268" s="52"/>
      <c r="FI268" s="52"/>
      <c r="FJ268" s="52"/>
      <c r="FK268" s="52"/>
      <c r="FL268" s="52"/>
      <c r="FM268" s="52"/>
      <c r="FN268" s="52"/>
      <c r="FO268" s="52"/>
      <c r="FP268" s="52"/>
      <c r="FQ268" s="52"/>
      <c r="FR268" s="52"/>
      <c r="FS268" s="52"/>
      <c r="FT268" s="52"/>
      <c r="FU268" s="52"/>
      <c r="FV268" s="52"/>
      <c r="FW268" s="52"/>
      <c r="FX268" s="52"/>
      <c r="FY268" s="52"/>
      <c r="FZ268" s="52"/>
      <c r="GA268" s="52"/>
      <c r="GB268" s="52"/>
      <c r="GC268" s="52"/>
      <c r="GD268" s="52"/>
      <c r="GE268" s="52"/>
      <c r="GF268" s="52"/>
      <c r="GG268" s="52"/>
      <c r="GH268" s="52"/>
      <c r="GI268" s="52"/>
      <c r="GJ268" s="52"/>
      <c r="GK268" s="52"/>
      <c r="GL268" s="52"/>
      <c r="GM268" s="52"/>
      <c r="GN268" s="52"/>
      <c r="GO268" s="52"/>
      <c r="GP268" s="52"/>
      <c r="GQ268" s="52"/>
      <c r="GR268" s="52"/>
      <c r="GS268" s="52"/>
      <c r="GT268" s="52"/>
      <c r="GU268" s="52"/>
      <c r="GV268" s="52"/>
      <c r="GW268" s="52"/>
      <c r="GX268" s="52"/>
      <c r="GY268" s="52"/>
      <c r="GZ268" s="52"/>
      <c r="HA268" s="52"/>
      <c r="HB268" s="52"/>
      <c r="HC268" s="52"/>
      <c r="HD268" s="52"/>
      <c r="HE268" s="52"/>
      <c r="HF268" s="52"/>
      <c r="HG268" s="52"/>
      <c r="HH268" s="52"/>
      <c r="HI268" s="52"/>
      <c r="HJ268" s="52"/>
      <c r="HK268" s="52"/>
      <c r="HL268" s="52"/>
      <c r="HM268" s="52"/>
      <c r="HN268" s="52"/>
      <c r="HO268" s="52"/>
      <c r="HP268" s="52"/>
      <c r="HQ268" s="52"/>
      <c r="HR268" s="52"/>
      <c r="HS268" s="52"/>
      <c r="HT268" s="52"/>
      <c r="HU268" s="52"/>
      <c r="HV268" s="52"/>
      <c r="HW268" s="52"/>
    </row>
    <row r="269" spans="1:231" s="84" customFormat="1" ht="15">
      <c r="A269" s="68"/>
      <c r="B269" s="68"/>
      <c r="C269" s="68"/>
      <c r="D269" s="68"/>
      <c r="E269" s="68"/>
      <c r="F269" s="68"/>
      <c r="G269" s="143"/>
      <c r="H269" s="343"/>
      <c r="I269" s="343"/>
      <c r="J269" s="148"/>
      <c r="K269" s="297"/>
      <c r="L269" s="292"/>
      <c r="M269" s="290"/>
      <c r="N269" s="274"/>
      <c r="O269" s="292"/>
      <c r="P269" s="292"/>
      <c r="Q269" s="343"/>
      <c r="R269" s="292"/>
      <c r="S269" s="299"/>
      <c r="T269" s="274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  <c r="EY269" s="52"/>
      <c r="EZ269" s="52"/>
      <c r="FA269" s="52"/>
      <c r="FB269" s="52"/>
      <c r="FC269" s="52"/>
      <c r="FD269" s="52"/>
      <c r="FE269" s="52"/>
      <c r="FF269" s="52"/>
      <c r="FG269" s="52"/>
      <c r="FH269" s="52"/>
      <c r="FI269" s="52"/>
      <c r="FJ269" s="52"/>
      <c r="FK269" s="52"/>
      <c r="FL269" s="52"/>
      <c r="FM269" s="52"/>
      <c r="FN269" s="52"/>
      <c r="FO269" s="52"/>
      <c r="FP269" s="52"/>
      <c r="FQ269" s="52"/>
      <c r="FR269" s="52"/>
      <c r="FS269" s="52"/>
      <c r="FT269" s="52"/>
      <c r="FU269" s="52"/>
      <c r="FV269" s="52"/>
      <c r="FW269" s="52"/>
      <c r="FX269" s="52"/>
      <c r="FY269" s="52"/>
      <c r="FZ269" s="52"/>
      <c r="GA269" s="52"/>
      <c r="GB269" s="52"/>
      <c r="GC269" s="52"/>
      <c r="GD269" s="52"/>
      <c r="GE269" s="52"/>
      <c r="GF269" s="52"/>
      <c r="GG269" s="52"/>
      <c r="GH269" s="52"/>
      <c r="GI269" s="52"/>
      <c r="GJ269" s="52"/>
      <c r="GK269" s="52"/>
      <c r="GL269" s="52"/>
      <c r="GM269" s="52"/>
      <c r="GN269" s="52"/>
      <c r="GO269" s="52"/>
      <c r="GP269" s="52"/>
      <c r="GQ269" s="52"/>
      <c r="GR269" s="52"/>
      <c r="GS269" s="52"/>
      <c r="GT269" s="52"/>
      <c r="GU269" s="52"/>
      <c r="GV269" s="52"/>
      <c r="GW269" s="52"/>
      <c r="GX269" s="52"/>
      <c r="GY269" s="52"/>
      <c r="GZ269" s="52"/>
      <c r="HA269" s="52"/>
      <c r="HB269" s="52"/>
      <c r="HC269" s="52"/>
      <c r="HD269" s="52"/>
      <c r="HE269" s="52"/>
      <c r="HF269" s="52"/>
      <c r="HG269" s="52"/>
      <c r="HH269" s="52"/>
      <c r="HI269" s="52"/>
      <c r="HJ269" s="52"/>
      <c r="HK269" s="52"/>
      <c r="HL269" s="52"/>
      <c r="HM269" s="52"/>
      <c r="HN269" s="52"/>
      <c r="HO269" s="52"/>
      <c r="HP269" s="52"/>
      <c r="HQ269" s="52"/>
      <c r="HR269" s="52"/>
      <c r="HS269" s="52"/>
      <c r="HT269" s="52"/>
      <c r="HU269" s="52"/>
      <c r="HV269" s="52"/>
      <c r="HW269" s="52"/>
    </row>
    <row r="270" spans="1:231" s="84" customFormat="1" ht="15">
      <c r="A270" s="68"/>
      <c r="B270" s="68"/>
      <c r="C270" s="68"/>
      <c r="D270" s="68"/>
      <c r="E270" s="68"/>
      <c r="F270" s="68"/>
      <c r="G270" s="143"/>
      <c r="H270" s="343"/>
      <c r="I270" s="343"/>
      <c r="J270" s="148"/>
      <c r="K270" s="297"/>
      <c r="L270" s="290"/>
      <c r="M270" s="298"/>
      <c r="N270" s="274"/>
      <c r="O270" s="290"/>
      <c r="P270" s="298"/>
      <c r="Q270" s="343"/>
      <c r="R270" s="298"/>
      <c r="S270" s="299"/>
      <c r="T270" s="274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  <c r="EY270" s="52"/>
      <c r="EZ270" s="52"/>
      <c r="FA270" s="52"/>
      <c r="FB270" s="52"/>
      <c r="FC270" s="52"/>
      <c r="FD270" s="52"/>
      <c r="FE270" s="52"/>
      <c r="FF270" s="52"/>
      <c r="FG270" s="52"/>
      <c r="FH270" s="52"/>
      <c r="FI270" s="52"/>
      <c r="FJ270" s="52"/>
      <c r="FK270" s="52"/>
      <c r="FL270" s="52"/>
      <c r="FM270" s="52"/>
      <c r="FN270" s="52"/>
      <c r="FO270" s="52"/>
      <c r="FP270" s="52"/>
      <c r="FQ270" s="52"/>
      <c r="FR270" s="52"/>
      <c r="FS270" s="52"/>
      <c r="FT270" s="52"/>
      <c r="FU270" s="52"/>
      <c r="FV270" s="52"/>
      <c r="FW270" s="52"/>
      <c r="FX270" s="52"/>
      <c r="FY270" s="52"/>
      <c r="FZ270" s="52"/>
      <c r="GA270" s="52"/>
      <c r="GB270" s="52"/>
      <c r="GC270" s="52"/>
      <c r="GD270" s="52"/>
      <c r="GE270" s="52"/>
      <c r="GF270" s="52"/>
      <c r="GG270" s="52"/>
      <c r="GH270" s="52"/>
      <c r="GI270" s="52"/>
      <c r="GJ270" s="52"/>
      <c r="GK270" s="52"/>
      <c r="GL270" s="52"/>
      <c r="GM270" s="52"/>
      <c r="GN270" s="52"/>
      <c r="GO270" s="52"/>
      <c r="GP270" s="52"/>
      <c r="GQ270" s="52"/>
      <c r="GR270" s="52"/>
      <c r="GS270" s="52"/>
      <c r="GT270" s="52"/>
      <c r="GU270" s="52"/>
      <c r="GV270" s="52"/>
      <c r="GW270" s="52"/>
      <c r="GX270" s="52"/>
      <c r="GY270" s="52"/>
      <c r="GZ270" s="52"/>
      <c r="HA270" s="52"/>
      <c r="HB270" s="52"/>
      <c r="HC270" s="52"/>
      <c r="HD270" s="52"/>
      <c r="HE270" s="52"/>
      <c r="HF270" s="52"/>
      <c r="HG270" s="52"/>
      <c r="HH270" s="52"/>
      <c r="HI270" s="52"/>
      <c r="HJ270" s="52"/>
      <c r="HK270" s="52"/>
      <c r="HL270" s="52"/>
      <c r="HM270" s="52"/>
      <c r="HN270" s="52"/>
      <c r="HO270" s="52"/>
      <c r="HP270" s="52"/>
      <c r="HQ270" s="52"/>
      <c r="HR270" s="52"/>
      <c r="HS270" s="52"/>
      <c r="HT270" s="52"/>
      <c r="HU270" s="52"/>
      <c r="HV270" s="52"/>
      <c r="HW270" s="52"/>
    </row>
    <row r="271" spans="1:231" s="84" customFormat="1" ht="15">
      <c r="A271" s="68"/>
      <c r="B271" s="68"/>
      <c r="C271" s="68"/>
      <c r="D271" s="68"/>
      <c r="E271" s="68"/>
      <c r="F271" s="68"/>
      <c r="G271" s="143"/>
      <c r="H271" s="343"/>
      <c r="I271" s="343"/>
      <c r="J271" s="148"/>
      <c r="K271" s="297"/>
      <c r="L271" s="290"/>
      <c r="M271" s="298"/>
      <c r="N271" s="274"/>
      <c r="O271" s="290"/>
      <c r="P271" s="298"/>
      <c r="Q271" s="343"/>
      <c r="R271" s="298"/>
      <c r="S271" s="299"/>
      <c r="T271" s="274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  <c r="EY271" s="52"/>
      <c r="EZ271" s="52"/>
      <c r="FA271" s="52"/>
      <c r="FB271" s="52"/>
      <c r="FC271" s="52"/>
      <c r="FD271" s="52"/>
      <c r="FE271" s="52"/>
      <c r="FF271" s="52"/>
      <c r="FG271" s="52"/>
      <c r="FH271" s="52"/>
      <c r="FI271" s="52"/>
      <c r="FJ271" s="52"/>
      <c r="FK271" s="52"/>
      <c r="FL271" s="52"/>
      <c r="FM271" s="52"/>
      <c r="FN271" s="52"/>
      <c r="FO271" s="52"/>
      <c r="FP271" s="52"/>
      <c r="FQ271" s="52"/>
      <c r="FR271" s="52"/>
      <c r="FS271" s="52"/>
      <c r="FT271" s="52"/>
      <c r="FU271" s="52"/>
      <c r="FV271" s="52"/>
      <c r="FW271" s="52"/>
      <c r="FX271" s="52"/>
      <c r="FY271" s="52"/>
      <c r="FZ271" s="52"/>
      <c r="GA271" s="52"/>
      <c r="GB271" s="52"/>
      <c r="GC271" s="52"/>
      <c r="GD271" s="52"/>
      <c r="GE271" s="52"/>
      <c r="GF271" s="52"/>
      <c r="GG271" s="52"/>
      <c r="GH271" s="52"/>
      <c r="GI271" s="52"/>
      <c r="GJ271" s="52"/>
      <c r="GK271" s="52"/>
      <c r="GL271" s="52"/>
      <c r="GM271" s="52"/>
      <c r="GN271" s="52"/>
      <c r="GO271" s="52"/>
      <c r="GP271" s="52"/>
      <c r="GQ271" s="52"/>
      <c r="GR271" s="52"/>
      <c r="GS271" s="52"/>
      <c r="GT271" s="52"/>
      <c r="GU271" s="52"/>
      <c r="GV271" s="52"/>
      <c r="GW271" s="52"/>
      <c r="GX271" s="52"/>
      <c r="GY271" s="52"/>
      <c r="GZ271" s="52"/>
      <c r="HA271" s="52"/>
      <c r="HB271" s="52"/>
      <c r="HC271" s="52"/>
      <c r="HD271" s="52"/>
      <c r="HE271" s="52"/>
      <c r="HF271" s="52"/>
      <c r="HG271" s="52"/>
      <c r="HH271" s="52"/>
      <c r="HI271" s="52"/>
      <c r="HJ271" s="52"/>
      <c r="HK271" s="52"/>
      <c r="HL271" s="52"/>
      <c r="HM271" s="52"/>
      <c r="HN271" s="52"/>
      <c r="HO271" s="52"/>
      <c r="HP271" s="52"/>
      <c r="HQ271" s="52"/>
      <c r="HR271" s="52"/>
      <c r="HS271" s="52"/>
      <c r="HT271" s="52"/>
      <c r="HU271" s="52"/>
      <c r="HV271" s="52"/>
      <c r="HW271" s="52"/>
    </row>
    <row r="272" spans="1:231" s="84" customFormat="1" ht="15">
      <c r="A272" s="68"/>
      <c r="B272" s="68"/>
      <c r="C272" s="68"/>
      <c r="D272" s="68"/>
      <c r="E272" s="68"/>
      <c r="F272" s="68"/>
      <c r="G272" s="143"/>
      <c r="H272" s="343"/>
      <c r="I272" s="343"/>
      <c r="J272" s="148"/>
      <c r="K272" s="297"/>
      <c r="L272" s="290"/>
      <c r="M272" s="298"/>
      <c r="N272" s="274"/>
      <c r="O272" s="290"/>
      <c r="P272" s="298"/>
      <c r="Q272" s="343"/>
      <c r="R272" s="298"/>
      <c r="S272" s="299"/>
      <c r="T272" s="274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  <c r="GA272" s="52"/>
      <c r="GB272" s="52"/>
      <c r="GC272" s="52"/>
      <c r="GD272" s="52"/>
      <c r="GE272" s="52"/>
      <c r="GF272" s="52"/>
      <c r="GG272" s="52"/>
      <c r="GH272" s="52"/>
      <c r="GI272" s="52"/>
      <c r="GJ272" s="52"/>
      <c r="GK272" s="52"/>
      <c r="GL272" s="52"/>
      <c r="GM272" s="52"/>
      <c r="GN272" s="52"/>
      <c r="GO272" s="52"/>
      <c r="GP272" s="52"/>
      <c r="GQ272" s="52"/>
      <c r="GR272" s="52"/>
      <c r="GS272" s="52"/>
      <c r="GT272" s="52"/>
      <c r="GU272" s="52"/>
      <c r="GV272" s="52"/>
      <c r="GW272" s="52"/>
      <c r="GX272" s="52"/>
      <c r="GY272" s="52"/>
      <c r="GZ272" s="52"/>
      <c r="HA272" s="52"/>
      <c r="HB272" s="52"/>
      <c r="HC272" s="52"/>
      <c r="HD272" s="52"/>
      <c r="HE272" s="52"/>
      <c r="HF272" s="52"/>
      <c r="HG272" s="52"/>
      <c r="HH272" s="52"/>
      <c r="HI272" s="52"/>
      <c r="HJ272" s="52"/>
      <c r="HK272" s="52"/>
      <c r="HL272" s="52"/>
      <c r="HM272" s="52"/>
      <c r="HN272" s="52"/>
      <c r="HO272" s="52"/>
      <c r="HP272" s="52"/>
      <c r="HQ272" s="52"/>
      <c r="HR272" s="52"/>
      <c r="HS272" s="52"/>
      <c r="HT272" s="52"/>
      <c r="HU272" s="52"/>
      <c r="HV272" s="52"/>
      <c r="HW272" s="52"/>
    </row>
    <row r="273" spans="1:231" s="84" customFormat="1" ht="15">
      <c r="A273" s="68"/>
      <c r="B273" s="68"/>
      <c r="C273" s="68"/>
      <c r="D273" s="68"/>
      <c r="E273" s="68"/>
      <c r="F273" s="68"/>
      <c r="G273" s="143"/>
      <c r="H273" s="343"/>
      <c r="I273" s="343"/>
      <c r="J273" s="148"/>
      <c r="K273" s="297"/>
      <c r="L273" s="290"/>
      <c r="M273" s="298"/>
      <c r="N273" s="274"/>
      <c r="O273" s="290"/>
      <c r="P273" s="298"/>
      <c r="Q273" s="343"/>
      <c r="R273" s="298"/>
      <c r="S273" s="299"/>
      <c r="T273" s="274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2"/>
      <c r="HG273" s="52"/>
      <c r="HH273" s="52"/>
      <c r="HI273" s="52"/>
      <c r="HJ273" s="52"/>
      <c r="HK273" s="52"/>
      <c r="HL273" s="52"/>
      <c r="HM273" s="52"/>
      <c r="HN273" s="52"/>
      <c r="HO273" s="52"/>
      <c r="HP273" s="52"/>
      <c r="HQ273" s="52"/>
      <c r="HR273" s="52"/>
      <c r="HS273" s="52"/>
      <c r="HT273" s="52"/>
      <c r="HU273" s="52"/>
      <c r="HV273" s="52"/>
      <c r="HW273" s="52"/>
    </row>
    <row r="274" spans="1:231" s="84" customFormat="1" ht="15">
      <c r="A274" s="68"/>
      <c r="B274" s="68"/>
      <c r="C274" s="68"/>
      <c r="D274" s="68"/>
      <c r="E274" s="68"/>
      <c r="F274" s="68"/>
      <c r="G274" s="143"/>
      <c r="H274" s="343"/>
      <c r="I274" s="343"/>
      <c r="J274" s="148"/>
      <c r="K274" s="297"/>
      <c r="L274" s="290"/>
      <c r="M274" s="298"/>
      <c r="N274" s="274"/>
      <c r="O274" s="290"/>
      <c r="P274" s="298"/>
      <c r="Q274" s="343"/>
      <c r="R274" s="298"/>
      <c r="S274" s="299"/>
      <c r="T274" s="274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52"/>
      <c r="GZ274" s="52"/>
      <c r="HA274" s="52"/>
      <c r="HB274" s="52"/>
      <c r="HC274" s="52"/>
      <c r="HD274" s="52"/>
      <c r="HE274" s="52"/>
      <c r="HF274" s="52"/>
      <c r="HG274" s="52"/>
      <c r="HH274" s="52"/>
      <c r="HI274" s="52"/>
      <c r="HJ274" s="52"/>
      <c r="HK274" s="52"/>
      <c r="HL274" s="52"/>
      <c r="HM274" s="52"/>
      <c r="HN274" s="52"/>
      <c r="HO274" s="52"/>
      <c r="HP274" s="52"/>
      <c r="HQ274" s="52"/>
      <c r="HR274" s="52"/>
      <c r="HS274" s="52"/>
      <c r="HT274" s="52"/>
      <c r="HU274" s="52"/>
      <c r="HV274" s="52"/>
      <c r="HW274" s="52"/>
    </row>
    <row r="275" spans="12:18" ht="15">
      <c r="L275" s="277"/>
      <c r="M275" s="284"/>
      <c r="N275" s="274"/>
      <c r="O275" s="277"/>
      <c r="P275" s="277"/>
      <c r="Q275" s="343"/>
      <c r="R275" s="277"/>
    </row>
    <row r="276" spans="12:18" ht="15">
      <c r="L276" s="277"/>
      <c r="M276" s="284"/>
      <c r="N276" s="274"/>
      <c r="O276" s="277"/>
      <c r="P276" s="277"/>
      <c r="Q276" s="343"/>
      <c r="R276" s="277"/>
    </row>
    <row r="277" spans="12:18" ht="15">
      <c r="L277" s="277"/>
      <c r="M277" s="284"/>
      <c r="N277" s="274"/>
      <c r="O277" s="277"/>
      <c r="P277" s="277"/>
      <c r="Q277" s="343"/>
      <c r="R277" s="277"/>
    </row>
    <row r="278" spans="12:18" ht="15">
      <c r="L278" s="277"/>
      <c r="M278" s="284"/>
      <c r="N278" s="274"/>
      <c r="O278" s="277"/>
      <c r="P278" s="277"/>
      <c r="Q278" s="343"/>
      <c r="R278" s="277"/>
    </row>
    <row r="279" spans="12:18" ht="15">
      <c r="L279" s="277"/>
      <c r="M279" s="284"/>
      <c r="N279" s="274"/>
      <c r="O279" s="277"/>
      <c r="P279" s="277"/>
      <c r="Q279" s="343"/>
      <c r="R279" s="277"/>
    </row>
    <row r="280" spans="12:18" ht="15">
      <c r="L280" s="277"/>
      <c r="M280" s="284"/>
      <c r="N280" s="274"/>
      <c r="O280" s="277"/>
      <c r="P280" s="277"/>
      <c r="Q280" s="343"/>
      <c r="R280" s="277"/>
    </row>
    <row r="281" spans="12:18" ht="15">
      <c r="L281" s="277"/>
      <c r="M281" s="284"/>
      <c r="N281" s="274"/>
      <c r="O281" s="277"/>
      <c r="P281" s="277"/>
      <c r="Q281" s="343"/>
      <c r="R281" s="277"/>
    </row>
    <row r="282" spans="12:18" ht="15">
      <c r="L282" s="277"/>
      <c r="M282" s="284"/>
      <c r="N282" s="274"/>
      <c r="O282" s="277"/>
      <c r="P282" s="277"/>
      <c r="Q282" s="343"/>
      <c r="R282" s="277"/>
    </row>
    <row r="283" spans="12:18" ht="15">
      <c r="L283" s="277"/>
      <c r="M283" s="284"/>
      <c r="N283" s="274"/>
      <c r="O283" s="277"/>
      <c r="P283" s="277"/>
      <c r="Q283" s="343"/>
      <c r="R283" s="277"/>
    </row>
    <row r="284" spans="12:18" ht="15">
      <c r="L284" s="277"/>
      <c r="M284" s="284"/>
      <c r="N284" s="274"/>
      <c r="O284" s="277"/>
      <c r="P284" s="277"/>
      <c r="Q284" s="343"/>
      <c r="R284" s="277"/>
    </row>
    <row r="285" spans="12:18" ht="15">
      <c r="L285" s="277"/>
      <c r="M285" s="284"/>
      <c r="N285" s="274"/>
      <c r="O285" s="277"/>
      <c r="P285" s="277"/>
      <c r="Q285" s="343"/>
      <c r="R285" s="277"/>
    </row>
    <row r="286" spans="12:18" ht="15">
      <c r="L286" s="277"/>
      <c r="M286" s="284"/>
      <c r="N286" s="274"/>
      <c r="O286" s="277"/>
      <c r="P286" s="277"/>
      <c r="Q286" s="343"/>
      <c r="R286" s="277"/>
    </row>
    <row r="287" spans="12:18" ht="15">
      <c r="L287" s="277"/>
      <c r="M287" s="284"/>
      <c r="N287" s="274"/>
      <c r="O287" s="277"/>
      <c r="P287" s="277"/>
      <c r="Q287" s="343"/>
      <c r="R287" s="277"/>
    </row>
    <row r="288" spans="12:18" ht="15">
      <c r="L288" s="277"/>
      <c r="M288" s="284"/>
      <c r="N288" s="274"/>
      <c r="O288" s="277"/>
      <c r="P288" s="277"/>
      <c r="Q288" s="343"/>
      <c r="R288" s="277"/>
    </row>
    <row r="289" spans="12:18" ht="15">
      <c r="L289" s="277"/>
      <c r="M289" s="284"/>
      <c r="N289" s="274"/>
      <c r="O289" s="277"/>
      <c r="P289" s="277"/>
      <c r="Q289" s="343"/>
      <c r="R289" s="277"/>
    </row>
    <row r="290" spans="12:18" ht="15">
      <c r="L290" s="277"/>
      <c r="M290" s="284"/>
      <c r="N290" s="274"/>
      <c r="O290" s="277"/>
      <c r="P290" s="277"/>
      <c r="Q290" s="343"/>
      <c r="R290" s="277"/>
    </row>
    <row r="291" spans="12:18" ht="15">
      <c r="L291" s="277"/>
      <c r="M291" s="284"/>
      <c r="N291" s="274"/>
      <c r="O291" s="277"/>
      <c r="P291" s="277"/>
      <c r="Q291" s="343"/>
      <c r="R291" s="277"/>
    </row>
    <row r="292" spans="12:18" ht="15">
      <c r="L292" s="277"/>
      <c r="M292" s="284"/>
      <c r="N292" s="274"/>
      <c r="O292" s="277"/>
      <c r="P292" s="277"/>
      <c r="Q292" s="343"/>
      <c r="R292" s="277"/>
    </row>
    <row r="293" spans="12:18" ht="15">
      <c r="L293" s="277"/>
      <c r="M293" s="284"/>
      <c r="N293" s="274"/>
      <c r="O293" s="277"/>
      <c r="P293" s="277"/>
      <c r="Q293" s="343"/>
      <c r="R293" s="277"/>
    </row>
    <row r="294" spans="12:18" ht="15">
      <c r="L294" s="277"/>
      <c r="M294" s="284"/>
      <c r="N294" s="274"/>
      <c r="O294" s="277"/>
      <c r="P294" s="277"/>
      <c r="Q294" s="343"/>
      <c r="R294" s="277"/>
    </row>
    <row r="295" spans="12:18" ht="15">
      <c r="L295" s="277"/>
      <c r="M295" s="284"/>
      <c r="O295" s="277"/>
      <c r="P295" s="277"/>
      <c r="R295" s="277"/>
    </row>
    <row r="296" spans="12:18" ht="15">
      <c r="L296" s="277"/>
      <c r="M296" s="284"/>
      <c r="O296" s="277"/>
      <c r="P296" s="277"/>
      <c r="R296" s="277"/>
    </row>
    <row r="297" spans="12:18" ht="15">
      <c r="L297" s="277"/>
      <c r="M297" s="284"/>
      <c r="O297" s="277"/>
      <c r="P297" s="277"/>
      <c r="R297" s="277"/>
    </row>
    <row r="298" spans="12:18" ht="15">
      <c r="L298" s="277"/>
      <c r="M298" s="284"/>
      <c r="O298" s="277"/>
      <c r="P298" s="277"/>
      <c r="R298" s="277"/>
    </row>
    <row r="299" spans="12:18" ht="15">
      <c r="L299" s="277"/>
      <c r="M299" s="284"/>
      <c r="O299" s="277"/>
      <c r="P299" s="277"/>
      <c r="R299" s="277"/>
    </row>
    <row r="300" spans="12:18" ht="15">
      <c r="L300" s="277"/>
      <c r="M300" s="284"/>
      <c r="O300" s="277"/>
      <c r="P300" s="277"/>
      <c r="R300" s="277"/>
    </row>
    <row r="301" spans="12:18" ht="15">
      <c r="L301" s="277"/>
      <c r="M301" s="284"/>
      <c r="O301" s="277"/>
      <c r="P301" s="277"/>
      <c r="R301" s="277"/>
    </row>
  </sheetData>
  <sheetProtection/>
  <mergeCells count="12">
    <mergeCell ref="T2:T3"/>
    <mergeCell ref="L2:L3"/>
    <mergeCell ref="M2:M3"/>
    <mergeCell ref="N2:N3"/>
    <mergeCell ref="O2:O3"/>
    <mergeCell ref="P2:P3"/>
    <mergeCell ref="A2:F2"/>
    <mergeCell ref="G2:G3"/>
    <mergeCell ref="H2:H3"/>
    <mergeCell ref="J2:J3"/>
    <mergeCell ref="I2:I3"/>
    <mergeCell ref="Q2:Q3"/>
  </mergeCells>
  <printOptions horizontalCentered="1"/>
  <pageMargins left="0.75" right="0.31496062992125984" top="0.35" bottom="0.4330708661417323" header="0.1968503937007874" footer="0.1968503937007874"/>
  <pageSetup fitToHeight="0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Visintin Roberto</dc:creator>
  <cp:keywords/>
  <dc:description/>
  <cp:lastModifiedBy>Valued Acer Customer</cp:lastModifiedBy>
  <cp:lastPrinted>2016-05-05T10:43:15Z</cp:lastPrinted>
  <dcterms:created xsi:type="dcterms:W3CDTF">2001-05-28T09:29:23Z</dcterms:created>
  <dcterms:modified xsi:type="dcterms:W3CDTF">2016-05-06T07:53:09Z</dcterms:modified>
  <cp:category/>
  <cp:version/>
  <cp:contentType/>
  <cp:contentStatus/>
</cp:coreProperties>
</file>